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7256" windowHeight="5844" activeTab="3"/>
  </bookViews>
  <sheets>
    <sheet name="Comercializadora Tropical" sheetId="1" r:id="rId1"/>
    <sheet name="Empresa DIAL" sheetId="2" r:id="rId2"/>
    <sheet name="Ejercicio 3" sheetId="4" r:id="rId3"/>
    <sheet name="Ejercicio 4" sheetId="6" r:id="rId4"/>
    <sheet name="Ejercicio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P28" i="4"/>
  <c r="P20" i="4"/>
  <c r="P18" i="4"/>
  <c r="P9" i="4"/>
  <c r="P7" i="4"/>
  <c r="Q7" i="4" l="1"/>
  <c r="J17" i="4"/>
  <c r="J16" i="4"/>
  <c r="I17" i="4"/>
  <c r="I16" i="4"/>
  <c r="D17" i="4"/>
  <c r="D16" i="4"/>
  <c r="J11" i="4"/>
  <c r="J10" i="4"/>
  <c r="D11" i="4"/>
  <c r="D4" i="4"/>
  <c r="D5" i="4"/>
  <c r="D10" i="4"/>
  <c r="I11" i="4"/>
  <c r="I10" i="4"/>
  <c r="J5" i="4"/>
  <c r="I14" i="1"/>
  <c r="I13" i="1"/>
  <c r="J13" i="1" s="1"/>
  <c r="J9" i="1"/>
  <c r="K6" i="1"/>
  <c r="J15" i="1" l="1"/>
  <c r="H21" i="5"/>
  <c r="H19" i="5"/>
  <c r="H18" i="5"/>
  <c r="H16" i="5"/>
  <c r="C23" i="5"/>
  <c r="C22" i="5"/>
  <c r="C21" i="5"/>
  <c r="C20" i="5"/>
  <c r="C19" i="5"/>
  <c r="I8" i="5"/>
  <c r="E13" i="5"/>
  <c r="E12" i="5"/>
  <c r="E11" i="5"/>
  <c r="E10" i="5"/>
  <c r="E9" i="5"/>
  <c r="S32" i="4" l="1"/>
  <c r="T32" i="4" s="1"/>
  <c r="Q32" i="4"/>
  <c r="S31" i="4"/>
  <c r="T31" i="4" s="1"/>
  <c r="Q31" i="4"/>
  <c r="T30" i="4"/>
  <c r="Q30" i="4"/>
  <c r="S29" i="4"/>
  <c r="T29" i="4" s="1"/>
  <c r="Q29" i="4"/>
  <c r="T28" i="4"/>
  <c r="Q28" i="4"/>
  <c r="U27" i="4"/>
  <c r="T27" i="4"/>
  <c r="Q27" i="4"/>
  <c r="W27" i="4" s="1"/>
  <c r="S22" i="4"/>
  <c r="T22" i="4" s="1"/>
  <c r="Q22" i="4"/>
  <c r="S21" i="4"/>
  <c r="T21" i="4" s="1"/>
  <c r="Q21" i="4"/>
  <c r="T20" i="4"/>
  <c r="Q20" i="4"/>
  <c r="S19" i="4"/>
  <c r="T19" i="4" s="1"/>
  <c r="Q19" i="4"/>
  <c r="T18" i="4"/>
  <c r="Q18" i="4"/>
  <c r="S17" i="4"/>
  <c r="T17" i="4" s="1"/>
  <c r="Q17" i="4"/>
  <c r="V16" i="4"/>
  <c r="U16" i="4"/>
  <c r="U17" i="4" s="1"/>
  <c r="U18" i="4" s="1"/>
  <c r="U19" i="4" s="1"/>
  <c r="U20" i="4" s="1"/>
  <c r="U21" i="4" s="1"/>
  <c r="U22" i="4" s="1"/>
  <c r="T16" i="4"/>
  <c r="Q16" i="4"/>
  <c r="W16" i="4" s="1"/>
  <c r="Q11" i="4"/>
  <c r="Q10" i="4"/>
  <c r="T9" i="4"/>
  <c r="Q9" i="4"/>
  <c r="T7" i="4"/>
  <c r="Q6" i="4"/>
  <c r="S6" i="4"/>
  <c r="T6" i="4" s="1"/>
  <c r="U6" i="4"/>
  <c r="U7" i="4" s="1"/>
  <c r="U8" i="4" s="1"/>
  <c r="U9" i="4" s="1"/>
  <c r="U10" i="4" s="1"/>
  <c r="U11" i="4" s="1"/>
  <c r="T5" i="4"/>
  <c r="E17" i="4"/>
  <c r="E16" i="4"/>
  <c r="E11" i="4"/>
  <c r="E10" i="4"/>
  <c r="E5" i="4"/>
  <c r="E4" i="4"/>
  <c r="H17" i="4"/>
  <c r="G17" i="4"/>
  <c r="F17" i="4"/>
  <c r="H16" i="4"/>
  <c r="G16" i="4"/>
  <c r="F16" i="4"/>
  <c r="H11" i="4"/>
  <c r="G11" i="4"/>
  <c r="F11" i="4"/>
  <c r="H10" i="4"/>
  <c r="G10" i="4"/>
  <c r="F10" i="4"/>
  <c r="H5" i="4"/>
  <c r="G5" i="4"/>
  <c r="F5" i="4"/>
  <c r="H4" i="4"/>
  <c r="I4" i="4" s="1"/>
  <c r="G4" i="4"/>
  <c r="F4" i="4"/>
  <c r="K29" i="2"/>
  <c r="H29" i="2"/>
  <c r="H28" i="2"/>
  <c r="H27" i="2"/>
  <c r="H26" i="2"/>
  <c r="K25" i="2"/>
  <c r="H25" i="2"/>
  <c r="K24" i="2"/>
  <c r="H24" i="2"/>
  <c r="H23" i="2"/>
  <c r="H22" i="2"/>
  <c r="L21" i="2"/>
  <c r="L22" i="2" s="1"/>
  <c r="L23" i="2" s="1"/>
  <c r="L24" i="2" s="1"/>
  <c r="L25" i="2" s="1"/>
  <c r="L26" i="2" s="1"/>
  <c r="L27" i="2" s="1"/>
  <c r="L28" i="2" s="1"/>
  <c r="L29" i="2" s="1"/>
  <c r="K21" i="2"/>
  <c r="H21" i="2"/>
  <c r="M20" i="2"/>
  <c r="L20" i="2"/>
  <c r="K20" i="2"/>
  <c r="H20" i="2"/>
  <c r="N20" i="2" s="1"/>
  <c r="N21" i="2" s="1"/>
  <c r="L12" i="2"/>
  <c r="K12" i="2"/>
  <c r="I12" i="2"/>
  <c r="L11" i="2"/>
  <c r="K11" i="2"/>
  <c r="J11" i="2"/>
  <c r="I11" i="2"/>
  <c r="L8" i="2"/>
  <c r="L7" i="2"/>
  <c r="K8" i="2"/>
  <c r="K7" i="2"/>
  <c r="J7" i="2"/>
  <c r="L20" i="1"/>
  <c r="G30" i="1"/>
  <c r="G29" i="1"/>
  <c r="G28" i="1"/>
  <c r="J27" i="1"/>
  <c r="G27" i="1"/>
  <c r="J26" i="1"/>
  <c r="G26" i="1"/>
  <c r="G24" i="1"/>
  <c r="G23" i="1"/>
  <c r="G22" i="1"/>
  <c r="J21" i="1"/>
  <c r="G21" i="1"/>
  <c r="K20" i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J20" i="1"/>
  <c r="G20" i="1"/>
  <c r="M20" i="1" s="1"/>
  <c r="M21" i="1" s="1"/>
  <c r="W28" i="4" l="1"/>
  <c r="V27" i="4"/>
  <c r="I5" i="4"/>
  <c r="U28" i="4"/>
  <c r="U29" i="4" s="1"/>
  <c r="U30" i="4" s="1"/>
  <c r="U31" i="4" s="1"/>
  <c r="U32" i="4" s="1"/>
  <c r="W29" i="4"/>
  <c r="W6" i="4"/>
  <c r="W17" i="4"/>
  <c r="M21" i="2"/>
  <c r="J22" i="2" s="1"/>
  <c r="K22" i="2" s="1"/>
  <c r="N22" i="2"/>
  <c r="L21" i="1"/>
  <c r="I22" i="1" s="1"/>
  <c r="J22" i="1" s="1"/>
  <c r="M22" i="1" s="1"/>
  <c r="W18" i="4" l="1"/>
  <c r="W30" i="4"/>
  <c r="V6" i="4"/>
  <c r="M22" i="2"/>
  <c r="J23" i="2" s="1"/>
  <c r="K23" i="2" s="1"/>
  <c r="N23" i="2" s="1"/>
  <c r="N24" i="2" s="1"/>
  <c r="L22" i="1"/>
  <c r="I23" i="1" s="1"/>
  <c r="J23" i="1" s="1"/>
  <c r="M23" i="1" s="1"/>
  <c r="W31" i="4" l="1"/>
  <c r="W19" i="4"/>
  <c r="M24" i="2"/>
  <c r="N25" i="2"/>
  <c r="L23" i="1"/>
  <c r="I24" i="1" s="1"/>
  <c r="J24" i="1" s="1"/>
  <c r="M24" i="1" s="1"/>
  <c r="W20" i="4" l="1"/>
  <c r="W32" i="4"/>
  <c r="M25" i="2"/>
  <c r="J26" i="2" s="1"/>
  <c r="K26" i="2" s="1"/>
  <c r="N26" i="2" s="1"/>
  <c r="L24" i="1"/>
  <c r="I25" i="1" s="1"/>
  <c r="J25" i="1" s="1"/>
  <c r="M25" i="1" s="1"/>
  <c r="M26" i="1" s="1"/>
  <c r="W21" i="4" l="1"/>
  <c r="M26" i="2"/>
  <c r="L26" i="1"/>
  <c r="M27" i="1"/>
  <c r="W22" i="4" l="1"/>
  <c r="J27" i="2"/>
  <c r="K27" i="2" s="1"/>
  <c r="N27" i="2" s="1"/>
  <c r="J28" i="2"/>
  <c r="K28" i="2" s="1"/>
  <c r="L27" i="1"/>
  <c r="I28" i="1" s="1"/>
  <c r="J28" i="1" s="1"/>
  <c r="M28" i="1"/>
  <c r="M27" i="2" l="1"/>
  <c r="N28" i="2"/>
  <c r="L28" i="1"/>
  <c r="I29" i="1" s="1"/>
  <c r="J29" i="1" s="1"/>
  <c r="M29" i="1" s="1"/>
  <c r="N29" i="2" l="1"/>
  <c r="M29" i="2" s="1"/>
  <c r="M28" i="2"/>
  <c r="L29" i="1"/>
  <c r="I30" i="1" s="1"/>
  <c r="J30" i="1" s="1"/>
  <c r="M30" i="1"/>
  <c r="L30" i="1" s="1"/>
  <c r="G14" i="2" l="1"/>
  <c r="K13" i="2"/>
  <c r="K14" i="2" s="1"/>
  <c r="J12" i="2"/>
  <c r="L10" i="2"/>
  <c r="K10" i="2"/>
  <c r="G10" i="2"/>
  <c r="K9" i="2"/>
  <c r="L9" i="2"/>
  <c r="G9" i="2"/>
  <c r="K6" i="2"/>
  <c r="G6" i="2"/>
  <c r="K5" i="2"/>
  <c r="G5" i="2"/>
  <c r="L5" i="2" s="1"/>
  <c r="L6" i="2" s="1"/>
  <c r="K12" i="1"/>
  <c r="G12" i="1"/>
  <c r="K7" i="1"/>
  <c r="K8" i="1" s="1"/>
  <c r="K9" i="1" s="1"/>
  <c r="K10" i="1" s="1"/>
  <c r="G11" i="1"/>
  <c r="M11" i="1" s="1"/>
  <c r="G6" i="1"/>
  <c r="M6" i="1"/>
  <c r="J7" i="1" s="1"/>
  <c r="M7" i="1" s="1"/>
  <c r="J8" i="1" s="1"/>
  <c r="M8" i="1" s="1"/>
  <c r="M9" i="1" s="1"/>
  <c r="K13" i="1" l="1"/>
  <c r="K14" i="1" s="1"/>
  <c r="K15" i="1" s="1"/>
  <c r="M12" i="1"/>
  <c r="M13" i="1" s="1"/>
  <c r="J10" i="1"/>
  <c r="M10" i="1" s="1"/>
  <c r="I13" i="2"/>
  <c r="J13" i="2" s="1"/>
  <c r="L13" i="2" s="1"/>
  <c r="L14" i="2" s="1"/>
  <c r="J14" i="1"/>
  <c r="J8" i="2"/>
  <c r="M14" i="1" l="1"/>
  <c r="M15" i="1"/>
  <c r="J4" i="4" l="1"/>
  <c r="W7" i="4"/>
  <c r="V7" i="4" l="1"/>
  <c r="S8" i="4" s="1"/>
  <c r="T8" i="4" s="1"/>
  <c r="W8" i="4" s="1"/>
  <c r="V8" i="4" l="1"/>
  <c r="W9" i="4"/>
  <c r="V9" i="4" l="1"/>
  <c r="S10" i="4" s="1"/>
  <c r="T10" i="4" s="1"/>
  <c r="W10" i="4" s="1"/>
  <c r="V10" i="4" l="1"/>
  <c r="S11" i="4" s="1"/>
  <c r="T11" i="4" s="1"/>
  <c r="W11" i="4" s="1"/>
</calcChain>
</file>

<file path=xl/sharedStrings.xml><?xml version="1.0" encoding="utf-8"?>
<sst xmlns="http://schemas.openxmlformats.org/spreadsheetml/2006/main" count="250" uniqueCount="63">
  <si>
    <t>FECHA</t>
  </si>
  <si>
    <t>DETALLE</t>
  </si>
  <si>
    <t>ENTRADAS</t>
  </si>
  <si>
    <t>SALIDAS</t>
  </si>
  <si>
    <t>SALDOS</t>
  </si>
  <si>
    <t>CONCEPTO</t>
  </si>
  <si>
    <t>NO. FACTURA</t>
  </si>
  <si>
    <t>CANTIDAD</t>
  </si>
  <si>
    <t>VALOR UNITARIO</t>
  </si>
  <si>
    <t>VALOR TOTAL</t>
  </si>
  <si>
    <t>TOTAL</t>
  </si>
  <si>
    <t>Inventario Inicial</t>
  </si>
  <si>
    <t>Ventas</t>
  </si>
  <si>
    <t>Compra</t>
  </si>
  <si>
    <t>Venta</t>
  </si>
  <si>
    <t>Devolución</t>
  </si>
  <si>
    <t>Comercializadora Tropical S.A</t>
  </si>
  <si>
    <t>Inventario inicial</t>
  </si>
  <si>
    <t>Metodo PMP</t>
  </si>
  <si>
    <t>No. Factura</t>
  </si>
  <si>
    <t>PMP</t>
  </si>
  <si>
    <t>A</t>
  </si>
  <si>
    <t>Fecha</t>
  </si>
  <si>
    <t>Concepto</t>
  </si>
  <si>
    <t>Descuentos</t>
  </si>
  <si>
    <t>IVA</t>
  </si>
  <si>
    <t>Portes</t>
  </si>
  <si>
    <t>Seguros</t>
  </si>
  <si>
    <t>Embalajes</t>
  </si>
  <si>
    <t>B</t>
  </si>
  <si>
    <t>C</t>
  </si>
  <si>
    <t>Artículo A</t>
  </si>
  <si>
    <t>Artículo B</t>
  </si>
  <si>
    <t>FIFO</t>
  </si>
  <si>
    <t>Artículo C</t>
  </si>
  <si>
    <t>Costo Total</t>
  </si>
  <si>
    <t xml:space="preserve">PV </t>
  </si>
  <si>
    <t>Unidades</t>
  </si>
  <si>
    <t>Costo</t>
  </si>
  <si>
    <t>MAT</t>
  </si>
  <si>
    <t>Materia prima X</t>
  </si>
  <si>
    <t>Materia prima C</t>
  </si>
  <si>
    <t>Materia prima B</t>
  </si>
  <si>
    <t>Materia prima G</t>
  </si>
  <si>
    <t>Materia prima F</t>
  </si>
  <si>
    <t xml:space="preserve">Cantidad </t>
  </si>
  <si>
    <t>C/U</t>
  </si>
  <si>
    <t>Total</t>
  </si>
  <si>
    <t>MOD</t>
  </si>
  <si>
    <t>Margen</t>
  </si>
  <si>
    <t>Gastos F</t>
  </si>
  <si>
    <t>Margen op</t>
  </si>
  <si>
    <t>Costo de ventas  al 75% de la producción</t>
  </si>
  <si>
    <t>Costo de ventas</t>
  </si>
  <si>
    <t xml:space="preserve">Unidades </t>
  </si>
  <si>
    <t>Margen Unitario</t>
  </si>
  <si>
    <t>Punto de Equilibrio con el 75%</t>
  </si>
  <si>
    <t xml:space="preserve">Fletes/Portes y Embalajes </t>
  </si>
  <si>
    <t>Valor Unitario</t>
  </si>
  <si>
    <t>Costos</t>
  </si>
  <si>
    <t>Fletes/Portes y Embalajes</t>
  </si>
  <si>
    <t>Carlos Gabriel Solórzano Escobar</t>
  </si>
  <si>
    <t>No entendí nada al ejercicio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</si>
</sst>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[$€-C0A]_-;\-* #,##0.00\ [$€-C0A]_-;_-* &quot;-&quot;??\ [$€-C0A]_-;_-@_-"/>
    <numFmt numFmtId="167" formatCode="#,##0.00\ [$€-C0A]"/>
    <numFmt numFmtId="169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/>
    <xf numFmtId="164" fontId="0" fillId="0" borderId="0" xfId="0" applyNumberFormat="1"/>
    <xf numFmtId="43" fontId="0" fillId="0" borderId="0" xfId="0" applyNumberFormat="1"/>
    <xf numFmtId="43" fontId="0" fillId="0" borderId="0" xfId="1" applyFont="1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" fontId="0" fillId="0" borderId="1" xfId="0" applyNumberFormat="1" applyBorder="1"/>
    <xf numFmtId="0" fontId="0" fillId="0" borderId="1" xfId="0" applyBorder="1"/>
    <xf numFmtId="43" fontId="0" fillId="0" borderId="1" xfId="1" applyFont="1" applyFill="1" applyBorder="1"/>
    <xf numFmtId="164" fontId="0" fillId="0" borderId="1" xfId="0" applyNumberFormat="1" applyBorder="1"/>
    <xf numFmtId="43" fontId="0" fillId="0" borderId="1" xfId="0" applyNumberFormat="1" applyBorder="1"/>
    <xf numFmtId="43" fontId="0" fillId="0" borderId="1" xfId="1" applyFont="1" applyBorder="1"/>
    <xf numFmtId="16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0" xfId="2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2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0" fontId="0" fillId="0" borderId="1" xfId="0" applyNumberFormat="1" applyBorder="1"/>
    <xf numFmtId="167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69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0" fillId="0" borderId="1" xfId="0" applyNumberFormat="1" applyBorder="1"/>
    <xf numFmtId="44" fontId="0" fillId="0" borderId="1" xfId="2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14" zoomScaleNormal="99" workbookViewId="0">
      <selection activeCell="D1" sqref="D1"/>
    </sheetView>
  </sheetViews>
  <sheetFormatPr baseColWidth="10" defaultRowHeight="14.4" x14ac:dyDescent="0.3"/>
  <cols>
    <col min="3" max="3" width="14.6640625" bestFit="1" customWidth="1"/>
    <col min="6" max="6" width="15.33203125" bestFit="1" customWidth="1"/>
    <col min="9" max="9" width="15.33203125" bestFit="1" customWidth="1"/>
  </cols>
  <sheetData>
    <row r="1" spans="1:13" ht="15" thickBot="1" x14ac:dyDescent="0.35">
      <c r="A1" s="6" t="s">
        <v>61</v>
      </c>
      <c r="B1" s="6"/>
      <c r="C1" s="6"/>
    </row>
    <row r="2" spans="1:13" ht="15" thickBot="1" x14ac:dyDescent="0.35">
      <c r="B2" s="7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" thickBot="1" x14ac:dyDescent="0.35">
      <c r="B3" s="8" t="s">
        <v>0</v>
      </c>
      <c r="C3" s="8" t="s">
        <v>1</v>
      </c>
      <c r="D3" s="8"/>
      <c r="E3" s="8" t="s">
        <v>2</v>
      </c>
      <c r="F3" s="8"/>
      <c r="G3" s="8"/>
      <c r="H3" s="8" t="s">
        <v>3</v>
      </c>
      <c r="I3" s="8"/>
      <c r="J3" s="8"/>
      <c r="K3" s="8" t="s">
        <v>4</v>
      </c>
      <c r="L3" s="8"/>
      <c r="M3" s="8"/>
    </row>
    <row r="4" spans="1:13" ht="15" thickBot="1" x14ac:dyDescent="0.35">
      <c r="B4" s="8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7</v>
      </c>
      <c r="I4" s="9" t="s">
        <v>8</v>
      </c>
      <c r="J4" s="9" t="s">
        <v>9</v>
      </c>
      <c r="K4" s="9" t="s">
        <v>7</v>
      </c>
      <c r="L4" s="9" t="s">
        <v>58</v>
      </c>
      <c r="M4" s="9" t="s">
        <v>10</v>
      </c>
    </row>
    <row r="5" spans="1:13" ht="15" thickBot="1" x14ac:dyDescent="0.35">
      <c r="B5" s="10">
        <v>38777</v>
      </c>
      <c r="C5" s="11" t="s">
        <v>11</v>
      </c>
      <c r="D5" s="11"/>
      <c r="E5" s="12"/>
      <c r="F5" s="13"/>
      <c r="G5" s="13"/>
      <c r="H5" s="11"/>
      <c r="I5" s="13"/>
      <c r="J5" s="11"/>
      <c r="K5" s="14">
        <v>300</v>
      </c>
      <c r="L5" s="14">
        <v>10.199999999999999</v>
      </c>
      <c r="M5" s="13">
        <v>3060</v>
      </c>
    </row>
    <row r="6" spans="1:13" ht="15" thickBot="1" x14ac:dyDescent="0.35">
      <c r="B6" s="10">
        <v>38778</v>
      </c>
      <c r="C6" s="11" t="s">
        <v>13</v>
      </c>
      <c r="D6" s="11"/>
      <c r="E6" s="12">
        <v>50</v>
      </c>
      <c r="F6" s="13">
        <v>10.8</v>
      </c>
      <c r="G6" s="13">
        <f>F6*E6</f>
        <v>540</v>
      </c>
      <c r="H6" s="11"/>
      <c r="I6" s="13"/>
      <c r="J6" s="11"/>
      <c r="K6" s="14">
        <f>K5+E6</f>
        <v>350</v>
      </c>
      <c r="L6" s="14"/>
      <c r="M6" s="13">
        <f>M5+G6</f>
        <v>3600</v>
      </c>
    </row>
    <row r="7" spans="1:13" ht="15" thickBot="1" x14ac:dyDescent="0.35">
      <c r="B7" s="10">
        <v>38782</v>
      </c>
      <c r="C7" s="11" t="s">
        <v>14</v>
      </c>
      <c r="D7" s="11"/>
      <c r="E7" s="12"/>
      <c r="F7" s="13"/>
      <c r="G7" s="13"/>
      <c r="H7" s="11">
        <v>100</v>
      </c>
      <c r="I7" s="13">
        <v>10.199999999999999</v>
      </c>
      <c r="J7" s="13">
        <f>H7*I7</f>
        <v>1019.9999999999999</v>
      </c>
      <c r="K7" s="14">
        <f>K6-H7</f>
        <v>250</v>
      </c>
      <c r="L7" s="14"/>
      <c r="M7" s="13">
        <f>M6-J7</f>
        <v>2580</v>
      </c>
    </row>
    <row r="8" spans="1:13" ht="15" thickBot="1" x14ac:dyDescent="0.35">
      <c r="B8" s="10">
        <v>38784</v>
      </c>
      <c r="C8" s="11" t="s">
        <v>14</v>
      </c>
      <c r="D8" s="11"/>
      <c r="E8" s="15"/>
      <c r="F8" s="13"/>
      <c r="G8" s="13"/>
      <c r="H8" s="14">
        <v>150</v>
      </c>
      <c r="I8" s="13">
        <v>10.199999999999999</v>
      </c>
      <c r="J8" s="13">
        <f>H8*I8</f>
        <v>1530</v>
      </c>
      <c r="K8" s="14">
        <f>K7-H8</f>
        <v>100</v>
      </c>
      <c r="L8" s="14"/>
      <c r="M8" s="13">
        <f>M7-J8</f>
        <v>1050</v>
      </c>
    </row>
    <row r="9" spans="1:13" ht="15" thickBot="1" x14ac:dyDescent="0.35">
      <c r="B9" s="10">
        <v>45365</v>
      </c>
      <c r="C9" s="11" t="s">
        <v>14</v>
      </c>
      <c r="D9" s="11"/>
      <c r="E9" s="15"/>
      <c r="F9" s="13"/>
      <c r="G9" s="13"/>
      <c r="H9" s="14">
        <v>50</v>
      </c>
      <c r="I9" s="13">
        <v>10.199999999999999</v>
      </c>
      <c r="J9" s="13">
        <f>H9*I9</f>
        <v>509.99999999999994</v>
      </c>
      <c r="K9" s="14">
        <f>K8-H9</f>
        <v>50</v>
      </c>
      <c r="L9" s="14"/>
      <c r="M9" s="13">
        <f>M8-J9</f>
        <v>540</v>
      </c>
    </row>
    <row r="10" spans="1:13" ht="15" thickBot="1" x14ac:dyDescent="0.35">
      <c r="B10" s="10">
        <v>45365</v>
      </c>
      <c r="C10" s="11" t="s">
        <v>14</v>
      </c>
      <c r="D10" s="11"/>
      <c r="E10" s="15"/>
      <c r="F10" s="13"/>
      <c r="G10" s="13"/>
      <c r="H10" s="14">
        <v>50</v>
      </c>
      <c r="I10" s="13">
        <v>10.8</v>
      </c>
      <c r="J10" s="13">
        <f>H10*I10</f>
        <v>540</v>
      </c>
      <c r="K10" s="14">
        <f>K9-H10</f>
        <v>0</v>
      </c>
      <c r="L10" s="14"/>
      <c r="M10" s="13">
        <f>M9-J10</f>
        <v>0</v>
      </c>
    </row>
    <row r="11" spans="1:13" ht="15" thickBot="1" x14ac:dyDescent="0.35">
      <c r="B11" s="10">
        <v>38796</v>
      </c>
      <c r="C11" s="11" t="s">
        <v>15</v>
      </c>
      <c r="D11" s="11"/>
      <c r="E11" s="12">
        <v>10</v>
      </c>
      <c r="F11" s="13">
        <v>12.1</v>
      </c>
      <c r="G11" s="13">
        <f>F11*E11</f>
        <v>121</v>
      </c>
      <c r="H11" s="11"/>
      <c r="I11" s="13"/>
      <c r="J11" s="11"/>
      <c r="K11" s="14">
        <v>10</v>
      </c>
      <c r="L11" s="14"/>
      <c r="M11" s="13">
        <f>G11</f>
        <v>121</v>
      </c>
    </row>
    <row r="12" spans="1:13" ht="15" thickBot="1" x14ac:dyDescent="0.35">
      <c r="B12" s="10">
        <v>45376</v>
      </c>
      <c r="C12" s="11" t="s">
        <v>13</v>
      </c>
      <c r="D12" s="11"/>
      <c r="E12" s="15">
        <v>300</v>
      </c>
      <c r="F12" s="13">
        <v>12.4</v>
      </c>
      <c r="G12" s="13">
        <f>E12*F12</f>
        <v>3720</v>
      </c>
      <c r="H12" s="11"/>
      <c r="I12" s="13"/>
      <c r="J12" s="13"/>
      <c r="K12" s="14">
        <f>K11+E12</f>
        <v>310</v>
      </c>
      <c r="L12" s="14"/>
      <c r="M12" s="13">
        <f>M11+G12</f>
        <v>3841</v>
      </c>
    </row>
    <row r="13" spans="1:13" ht="15" thickBot="1" x14ac:dyDescent="0.35">
      <c r="B13" s="10">
        <v>45378</v>
      </c>
      <c r="C13" s="11" t="s">
        <v>14</v>
      </c>
      <c r="D13" s="11"/>
      <c r="E13" s="15"/>
      <c r="F13" s="13"/>
      <c r="G13" s="13"/>
      <c r="H13" s="11">
        <v>10</v>
      </c>
      <c r="I13" s="13">
        <f>F11</f>
        <v>12.1</v>
      </c>
      <c r="J13" s="13">
        <f>H13*I13</f>
        <v>121</v>
      </c>
      <c r="K13" s="14">
        <f>K12-H13</f>
        <v>300</v>
      </c>
      <c r="L13" s="14"/>
      <c r="M13" s="13">
        <f>M12-J13</f>
        <v>3720</v>
      </c>
    </row>
    <row r="14" spans="1:13" ht="15" thickBot="1" x14ac:dyDescent="0.35">
      <c r="B14" s="10">
        <v>45378</v>
      </c>
      <c r="C14" s="11" t="s">
        <v>14</v>
      </c>
      <c r="D14" s="11"/>
      <c r="E14" s="15"/>
      <c r="F14" s="13"/>
      <c r="G14" s="13"/>
      <c r="H14" s="11">
        <v>60</v>
      </c>
      <c r="I14" s="13">
        <f>F12</f>
        <v>12.4</v>
      </c>
      <c r="J14" s="13">
        <f>H14*I14</f>
        <v>744</v>
      </c>
      <c r="K14" s="14">
        <f>K13-H14</f>
        <v>240</v>
      </c>
      <c r="L14" s="14"/>
      <c r="M14" s="13">
        <f>M13-J14</f>
        <v>2976</v>
      </c>
    </row>
    <row r="15" spans="1:13" ht="15" thickBot="1" x14ac:dyDescent="0.35">
      <c r="B15" s="10">
        <v>45380</v>
      </c>
      <c r="C15" s="11" t="s">
        <v>14</v>
      </c>
      <c r="D15" s="11"/>
      <c r="E15" s="15"/>
      <c r="F15" s="13"/>
      <c r="G15" s="13"/>
      <c r="H15" s="11">
        <v>100</v>
      </c>
      <c r="I15" s="13">
        <v>12.4</v>
      </c>
      <c r="J15" s="13">
        <f>H15*I15</f>
        <v>1240</v>
      </c>
      <c r="K15" s="14">
        <f>K14-H15</f>
        <v>140</v>
      </c>
      <c r="L15" s="14"/>
      <c r="M15" s="13">
        <f>M14-J15</f>
        <v>1736</v>
      </c>
    </row>
    <row r="16" spans="1:13" ht="15" thickBot="1" x14ac:dyDescent="0.35">
      <c r="B16" s="2"/>
      <c r="E16" s="5"/>
      <c r="F16" s="3"/>
      <c r="G16" s="3"/>
      <c r="I16" s="3"/>
      <c r="K16" s="4"/>
      <c r="L16" s="4"/>
      <c r="M16" s="3"/>
    </row>
    <row r="17" spans="2:14" ht="15" thickBot="1" x14ac:dyDescent="0.35">
      <c r="B17" s="16" t="s">
        <v>18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ht="15" thickBot="1" x14ac:dyDescent="0.35">
      <c r="B18" s="8" t="s">
        <v>0</v>
      </c>
      <c r="C18" s="8" t="s">
        <v>1</v>
      </c>
      <c r="D18" s="8"/>
      <c r="E18" s="8" t="s">
        <v>2</v>
      </c>
      <c r="F18" s="8"/>
      <c r="G18" s="8"/>
      <c r="H18" s="8" t="s">
        <v>3</v>
      </c>
      <c r="I18" s="8"/>
      <c r="J18" s="8"/>
      <c r="K18" s="8" t="s">
        <v>4</v>
      </c>
      <c r="L18" s="8"/>
      <c r="M18" s="8"/>
      <c r="N18" s="8"/>
    </row>
    <row r="19" spans="2:14" ht="15" thickBot="1" x14ac:dyDescent="0.35">
      <c r="B19" s="8"/>
      <c r="C19" s="8" t="s">
        <v>5</v>
      </c>
      <c r="D19" s="8"/>
      <c r="E19" s="9" t="s">
        <v>7</v>
      </c>
      <c r="F19" s="9" t="s">
        <v>8</v>
      </c>
      <c r="G19" s="9" t="s">
        <v>9</v>
      </c>
      <c r="H19" s="9" t="s">
        <v>7</v>
      </c>
      <c r="I19" s="9" t="s">
        <v>8</v>
      </c>
      <c r="J19" s="9" t="s">
        <v>9</v>
      </c>
      <c r="K19" s="9" t="s">
        <v>7</v>
      </c>
      <c r="L19" s="9" t="s">
        <v>58</v>
      </c>
      <c r="M19" s="9" t="s">
        <v>10</v>
      </c>
      <c r="N19" s="9"/>
    </row>
    <row r="20" spans="2:14" ht="15" thickBot="1" x14ac:dyDescent="0.35">
      <c r="B20" s="10">
        <v>45352</v>
      </c>
      <c r="C20" s="17" t="s">
        <v>17</v>
      </c>
      <c r="D20" s="17"/>
      <c r="E20" s="15">
        <v>300</v>
      </c>
      <c r="F20" s="18">
        <v>10.199999999999999</v>
      </c>
      <c r="G20" s="18">
        <f>E20*F20</f>
        <v>3060</v>
      </c>
      <c r="H20" s="11"/>
      <c r="I20" s="18"/>
      <c r="J20" s="18">
        <f>H20*I20</f>
        <v>0</v>
      </c>
      <c r="K20" s="14">
        <f>E20</f>
        <v>300</v>
      </c>
      <c r="L20" s="14">
        <f>F20</f>
        <v>10.199999999999999</v>
      </c>
      <c r="M20" s="18">
        <f>G20</f>
        <v>3060</v>
      </c>
    </row>
    <row r="21" spans="2:14" ht="15" thickBot="1" x14ac:dyDescent="0.35">
      <c r="B21" s="10">
        <v>45353</v>
      </c>
      <c r="C21" s="19" t="s">
        <v>13</v>
      </c>
      <c r="D21" s="19"/>
      <c r="E21" s="15">
        <v>50</v>
      </c>
      <c r="F21" s="18">
        <v>10.8</v>
      </c>
      <c r="G21" s="18">
        <f t="shared" ref="G21:G30" si="0">E21*F21</f>
        <v>540</v>
      </c>
      <c r="H21" s="11"/>
      <c r="I21" s="18"/>
      <c r="J21" s="18">
        <f t="shared" ref="J21:J30" si="1">H21*I21</f>
        <v>0</v>
      </c>
      <c r="K21" s="14">
        <f>K20+E21</f>
        <v>350</v>
      </c>
      <c r="L21" s="18">
        <f>M21/K21</f>
        <v>10.285714285714286</v>
      </c>
      <c r="M21" s="18">
        <f>M20+G21</f>
        <v>3600</v>
      </c>
    </row>
    <row r="22" spans="2:14" ht="15" thickBot="1" x14ac:dyDescent="0.35">
      <c r="B22" s="10">
        <v>45357</v>
      </c>
      <c r="C22" s="19" t="s">
        <v>14</v>
      </c>
      <c r="D22" s="19"/>
      <c r="E22" s="15"/>
      <c r="F22" s="18"/>
      <c r="G22" s="18">
        <f t="shared" si="0"/>
        <v>0</v>
      </c>
      <c r="H22" s="11">
        <v>100</v>
      </c>
      <c r="I22" s="18">
        <f>L21</f>
        <v>10.285714285714286</v>
      </c>
      <c r="J22" s="18">
        <f t="shared" si="1"/>
        <v>1028.5714285714287</v>
      </c>
      <c r="K22" s="14">
        <f>K21-H22</f>
        <v>250</v>
      </c>
      <c r="L22" s="18">
        <f>M22/K22</f>
        <v>10.285714285714286</v>
      </c>
      <c r="M22" s="18">
        <f>M21-J22</f>
        <v>2571.4285714285716</v>
      </c>
    </row>
    <row r="23" spans="2:14" ht="15" thickBot="1" x14ac:dyDescent="0.35">
      <c r="B23" s="10">
        <v>45359</v>
      </c>
      <c r="C23" s="19" t="s">
        <v>14</v>
      </c>
      <c r="D23" s="19"/>
      <c r="E23" s="15"/>
      <c r="F23" s="18"/>
      <c r="G23" s="18">
        <f t="shared" si="0"/>
        <v>0</v>
      </c>
      <c r="H23" s="11">
        <v>150</v>
      </c>
      <c r="I23" s="18">
        <f>L22</f>
        <v>10.285714285714286</v>
      </c>
      <c r="J23" s="18">
        <f t="shared" si="1"/>
        <v>1542.8571428571429</v>
      </c>
      <c r="K23" s="14">
        <f>K22-H23</f>
        <v>100</v>
      </c>
      <c r="L23" s="18">
        <f>M23/K23</f>
        <v>10.285714285714286</v>
      </c>
      <c r="M23" s="18">
        <f>M22-J23</f>
        <v>1028.5714285714287</v>
      </c>
    </row>
    <row r="24" spans="2:14" ht="15" thickBot="1" x14ac:dyDescent="0.35">
      <c r="B24" s="10">
        <v>45365</v>
      </c>
      <c r="C24" s="19" t="s">
        <v>14</v>
      </c>
      <c r="D24" s="19"/>
      <c r="E24" s="15"/>
      <c r="F24" s="18"/>
      <c r="G24" s="18">
        <f t="shared" si="0"/>
        <v>0</v>
      </c>
      <c r="H24" s="11">
        <v>50</v>
      </c>
      <c r="I24" s="18">
        <f>L23</f>
        <v>10.285714285714286</v>
      </c>
      <c r="J24" s="18">
        <f t="shared" si="1"/>
        <v>514.28571428571433</v>
      </c>
      <c r="K24" s="14">
        <f>K23-H24</f>
        <v>50</v>
      </c>
      <c r="L24" s="18">
        <f>M24/K24</f>
        <v>10.285714285714286</v>
      </c>
      <c r="M24" s="18">
        <f>M23-J24</f>
        <v>514.28571428571433</v>
      </c>
    </row>
    <row r="25" spans="2:14" ht="15" thickBot="1" x14ac:dyDescent="0.35">
      <c r="B25" s="10">
        <v>45365</v>
      </c>
      <c r="C25" s="20" t="s">
        <v>14</v>
      </c>
      <c r="D25" s="20"/>
      <c r="E25" s="15"/>
      <c r="F25" s="18"/>
      <c r="G25" s="18"/>
      <c r="H25" s="11">
        <v>50</v>
      </c>
      <c r="I25" s="18">
        <f>L24</f>
        <v>10.285714285714286</v>
      </c>
      <c r="J25" s="18">
        <f t="shared" si="1"/>
        <v>514.28571428571433</v>
      </c>
      <c r="K25" s="14">
        <f>K24-H25</f>
        <v>0</v>
      </c>
      <c r="L25" s="18">
        <v>0</v>
      </c>
      <c r="M25" s="18">
        <f>M24-J25</f>
        <v>0</v>
      </c>
    </row>
    <row r="26" spans="2:14" ht="15" thickBot="1" x14ac:dyDescent="0.35">
      <c r="B26" s="10">
        <v>45371</v>
      </c>
      <c r="C26" s="19" t="s">
        <v>15</v>
      </c>
      <c r="D26" s="19"/>
      <c r="E26" s="15">
        <v>10</v>
      </c>
      <c r="F26" s="18">
        <v>12.1</v>
      </c>
      <c r="G26" s="18">
        <f t="shared" si="0"/>
        <v>121</v>
      </c>
      <c r="H26" s="11"/>
      <c r="I26" s="18"/>
      <c r="J26" s="18">
        <f t="shared" si="1"/>
        <v>0</v>
      </c>
      <c r="K26" s="14">
        <f>K25+E26</f>
        <v>10</v>
      </c>
      <c r="L26" s="18">
        <f>M26/K26</f>
        <v>12.1</v>
      </c>
      <c r="M26" s="18">
        <f>M25+G26</f>
        <v>121</v>
      </c>
    </row>
    <row r="27" spans="2:14" ht="15" thickBot="1" x14ac:dyDescent="0.35">
      <c r="B27" s="10">
        <v>45376</v>
      </c>
      <c r="C27" s="19" t="s">
        <v>13</v>
      </c>
      <c r="D27" s="19"/>
      <c r="E27" s="15">
        <v>300</v>
      </c>
      <c r="F27" s="18">
        <v>12.4</v>
      </c>
      <c r="G27" s="18">
        <f t="shared" si="0"/>
        <v>3720</v>
      </c>
      <c r="H27" s="11"/>
      <c r="I27" s="18"/>
      <c r="J27" s="18">
        <f t="shared" si="1"/>
        <v>0</v>
      </c>
      <c r="K27" s="14">
        <f>K26+E27</f>
        <v>310</v>
      </c>
      <c r="L27" s="18">
        <f>M27/K27</f>
        <v>12.390322580645162</v>
      </c>
      <c r="M27" s="18">
        <f>M26+G27</f>
        <v>3841</v>
      </c>
    </row>
    <row r="28" spans="2:14" ht="15" thickBot="1" x14ac:dyDescent="0.35">
      <c r="B28" s="10">
        <v>45378</v>
      </c>
      <c r="C28" s="20" t="s">
        <v>14</v>
      </c>
      <c r="D28" s="20"/>
      <c r="E28" s="15"/>
      <c r="F28" s="18"/>
      <c r="G28" s="18">
        <f t="shared" si="0"/>
        <v>0</v>
      </c>
      <c r="H28" s="11">
        <v>10</v>
      </c>
      <c r="I28" s="18">
        <f>L27</f>
        <v>12.390322580645162</v>
      </c>
      <c r="J28" s="18">
        <f t="shared" si="1"/>
        <v>123.90322580645162</v>
      </c>
      <c r="K28" s="14">
        <f>K27-H28</f>
        <v>300</v>
      </c>
      <c r="L28" s="18">
        <f>M28/K28</f>
        <v>12.390322580645162</v>
      </c>
      <c r="M28" s="18">
        <f>M27-J28</f>
        <v>3717.0967741935483</v>
      </c>
    </row>
    <row r="29" spans="2:14" ht="15" thickBot="1" x14ac:dyDescent="0.35">
      <c r="B29" s="10">
        <v>45378</v>
      </c>
      <c r="C29" s="19" t="s">
        <v>14</v>
      </c>
      <c r="D29" s="19"/>
      <c r="E29" s="15"/>
      <c r="F29" s="18"/>
      <c r="G29" s="18">
        <f t="shared" si="0"/>
        <v>0</v>
      </c>
      <c r="H29" s="11">
        <v>60</v>
      </c>
      <c r="I29" s="18">
        <f>L28</f>
        <v>12.390322580645162</v>
      </c>
      <c r="J29" s="18">
        <f t="shared" si="1"/>
        <v>743.41935483870975</v>
      </c>
      <c r="K29" s="14">
        <f>K28-H29</f>
        <v>240</v>
      </c>
      <c r="L29" s="18">
        <f>M29/K29</f>
        <v>12.39032258064516</v>
      </c>
      <c r="M29" s="18">
        <f>M28-J29</f>
        <v>2973.6774193548385</v>
      </c>
    </row>
    <row r="30" spans="2:14" ht="15" thickBot="1" x14ac:dyDescent="0.35">
      <c r="B30" s="10">
        <v>45380</v>
      </c>
      <c r="C30" s="19" t="s">
        <v>14</v>
      </c>
      <c r="D30" s="19"/>
      <c r="E30" s="15"/>
      <c r="F30" s="18"/>
      <c r="G30" s="18">
        <f t="shared" si="0"/>
        <v>0</v>
      </c>
      <c r="H30" s="11">
        <v>100</v>
      </c>
      <c r="I30" s="18">
        <f>L29</f>
        <v>12.39032258064516</v>
      </c>
      <c r="J30" s="18">
        <f t="shared" si="1"/>
        <v>1239.0322580645159</v>
      </c>
      <c r="K30" s="14">
        <f>K29-H30</f>
        <v>140</v>
      </c>
      <c r="L30" s="18">
        <f>M30/K30</f>
        <v>12.390322580645162</v>
      </c>
      <c r="M30" s="18">
        <f>M29-J30</f>
        <v>1734.6451612903227</v>
      </c>
    </row>
  </sheetData>
  <mergeCells count="25">
    <mergeCell ref="A1:C1"/>
    <mergeCell ref="C26:D26"/>
    <mergeCell ref="C27:D27"/>
    <mergeCell ref="C28:D28"/>
    <mergeCell ref="C29:D29"/>
    <mergeCell ref="C30:D30"/>
    <mergeCell ref="B17:N17"/>
    <mergeCell ref="C20:D20"/>
    <mergeCell ref="C21:D21"/>
    <mergeCell ref="C22:D22"/>
    <mergeCell ref="C23:D23"/>
    <mergeCell ref="C24:D24"/>
    <mergeCell ref="C25:D25"/>
    <mergeCell ref="B18:B19"/>
    <mergeCell ref="C18:D18"/>
    <mergeCell ref="E18:G18"/>
    <mergeCell ref="H18:J18"/>
    <mergeCell ref="K18:N18"/>
    <mergeCell ref="C19:D19"/>
    <mergeCell ref="B3:B4"/>
    <mergeCell ref="C3:D3"/>
    <mergeCell ref="E3:G3"/>
    <mergeCell ref="H3:J3"/>
    <mergeCell ref="K3:M3"/>
    <mergeCell ref="B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99" workbookViewId="0">
      <selection sqref="A1:C1"/>
    </sheetView>
  </sheetViews>
  <sheetFormatPr baseColWidth="10" defaultRowHeight="14.4" x14ac:dyDescent="0.3"/>
  <sheetData>
    <row r="1" spans="1:12" ht="15" thickBot="1" x14ac:dyDescent="0.35">
      <c r="A1" s="6" t="s">
        <v>61</v>
      </c>
      <c r="B1" s="6"/>
      <c r="C1" s="6"/>
    </row>
    <row r="2" spans="1:12" ht="15" thickBot="1" x14ac:dyDescent="0.35">
      <c r="B2" s="7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5" thickBot="1" x14ac:dyDescent="0.35">
      <c r="B3" s="8" t="s">
        <v>0</v>
      </c>
      <c r="C3" s="8" t="s">
        <v>1</v>
      </c>
      <c r="D3" s="8"/>
      <c r="E3" s="8" t="s">
        <v>2</v>
      </c>
      <c r="F3" s="8"/>
      <c r="G3" s="8"/>
      <c r="H3" s="8" t="s">
        <v>3</v>
      </c>
      <c r="I3" s="8"/>
      <c r="J3" s="8"/>
      <c r="K3" s="8" t="s">
        <v>4</v>
      </c>
      <c r="L3" s="8"/>
    </row>
    <row r="4" spans="1:12" ht="15" thickBot="1" x14ac:dyDescent="0.35">
      <c r="B4" s="8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7</v>
      </c>
      <c r="I4" s="9" t="s">
        <v>8</v>
      </c>
      <c r="J4" s="9" t="s">
        <v>9</v>
      </c>
      <c r="K4" s="9" t="s">
        <v>7</v>
      </c>
      <c r="L4" s="9" t="s">
        <v>10</v>
      </c>
    </row>
    <row r="5" spans="1:12" ht="15" thickBot="1" x14ac:dyDescent="0.35">
      <c r="B5" s="10">
        <v>41275</v>
      </c>
      <c r="C5" s="11" t="s">
        <v>11</v>
      </c>
      <c r="D5" s="11"/>
      <c r="E5" s="12">
        <v>100</v>
      </c>
      <c r="F5" s="13">
        <v>0.3</v>
      </c>
      <c r="G5" s="13">
        <f>F5*E5</f>
        <v>30</v>
      </c>
      <c r="H5" s="11"/>
      <c r="I5" s="13"/>
      <c r="J5" s="11"/>
      <c r="K5" s="14">
        <f>E5</f>
        <v>100</v>
      </c>
      <c r="L5" s="13">
        <f>G5</f>
        <v>30</v>
      </c>
    </row>
    <row r="6" spans="1:12" ht="15" thickBot="1" x14ac:dyDescent="0.35">
      <c r="B6" s="10">
        <v>41284</v>
      </c>
      <c r="C6" s="11" t="s">
        <v>13</v>
      </c>
      <c r="D6" s="11"/>
      <c r="E6" s="12">
        <v>200</v>
      </c>
      <c r="F6" s="13">
        <v>0.35</v>
      </c>
      <c r="G6" s="13">
        <f>F6*E6</f>
        <v>70</v>
      </c>
      <c r="H6" s="11"/>
      <c r="I6" s="13"/>
      <c r="J6" s="11"/>
      <c r="K6" s="14">
        <f>K5+E6</f>
        <v>300</v>
      </c>
      <c r="L6" s="13">
        <f>L5+G6</f>
        <v>100</v>
      </c>
    </row>
    <row r="7" spans="1:12" ht="15" thickBot="1" x14ac:dyDescent="0.35">
      <c r="B7" s="10">
        <v>45342</v>
      </c>
      <c r="C7" s="11" t="s">
        <v>14</v>
      </c>
      <c r="D7" s="11"/>
      <c r="E7" s="12"/>
      <c r="F7" s="13"/>
      <c r="G7" s="13"/>
      <c r="H7" s="11">
        <v>100</v>
      </c>
      <c r="I7" s="13">
        <v>0.3</v>
      </c>
      <c r="J7" s="13">
        <f>H7*I7</f>
        <v>30</v>
      </c>
      <c r="K7" s="14">
        <f>K6-H7</f>
        <v>200</v>
      </c>
      <c r="L7" s="13">
        <f>L6-J7</f>
        <v>70</v>
      </c>
    </row>
    <row r="8" spans="1:12" ht="15" thickBot="1" x14ac:dyDescent="0.35">
      <c r="B8" s="10">
        <v>41325</v>
      </c>
      <c r="C8" s="11" t="s">
        <v>14</v>
      </c>
      <c r="D8" s="11"/>
      <c r="E8" s="12"/>
      <c r="F8" s="13"/>
      <c r="G8" s="13"/>
      <c r="H8" s="11">
        <v>200</v>
      </c>
      <c r="I8" s="13">
        <v>0.35</v>
      </c>
      <c r="J8" s="13">
        <f>H8*I8</f>
        <v>70</v>
      </c>
      <c r="K8" s="14">
        <f>K7-H8</f>
        <v>0</v>
      </c>
      <c r="L8" s="13">
        <f>L7-J8</f>
        <v>0</v>
      </c>
    </row>
    <row r="9" spans="1:12" ht="15" thickBot="1" x14ac:dyDescent="0.35">
      <c r="B9" s="10">
        <v>45349</v>
      </c>
      <c r="C9" s="11" t="s">
        <v>13</v>
      </c>
      <c r="D9" s="11"/>
      <c r="E9" s="15">
        <v>200</v>
      </c>
      <c r="F9" s="13">
        <v>0.38</v>
      </c>
      <c r="G9" s="13">
        <f>E9*F9</f>
        <v>76</v>
      </c>
      <c r="H9" s="14"/>
      <c r="I9" s="13"/>
      <c r="J9" s="13"/>
      <c r="K9" s="14">
        <f>E9</f>
        <v>200</v>
      </c>
      <c r="L9" s="13">
        <f>G9</f>
        <v>76</v>
      </c>
    </row>
    <row r="10" spans="1:12" ht="15" thickBot="1" x14ac:dyDescent="0.35">
      <c r="B10" s="10">
        <v>45366</v>
      </c>
      <c r="C10" s="11" t="s">
        <v>13</v>
      </c>
      <c r="D10" s="11"/>
      <c r="E10" s="15">
        <v>200</v>
      </c>
      <c r="F10" s="13">
        <v>0.4</v>
      </c>
      <c r="G10" s="13">
        <f>E10*F10</f>
        <v>80</v>
      </c>
      <c r="H10" s="14"/>
      <c r="I10" s="13"/>
      <c r="J10" s="13"/>
      <c r="K10" s="14">
        <f>K9+E10</f>
        <v>400</v>
      </c>
      <c r="L10" s="13">
        <f>L9+G10</f>
        <v>156</v>
      </c>
    </row>
    <row r="11" spans="1:12" ht="15" thickBot="1" x14ac:dyDescent="0.35">
      <c r="B11" s="10">
        <v>45369</v>
      </c>
      <c r="C11" s="11" t="s">
        <v>14</v>
      </c>
      <c r="D11" s="11"/>
      <c r="E11" s="15"/>
      <c r="F11" s="13"/>
      <c r="G11" s="13"/>
      <c r="H11" s="14">
        <v>200</v>
      </c>
      <c r="I11" s="13">
        <f>F9</f>
        <v>0.38</v>
      </c>
      <c r="J11" s="13">
        <f>H11*I11</f>
        <v>76</v>
      </c>
      <c r="K11" s="14">
        <f>K10-H11</f>
        <v>200</v>
      </c>
      <c r="L11" s="13">
        <f>L10-J11</f>
        <v>80</v>
      </c>
    </row>
    <row r="12" spans="1:12" ht="15" thickBot="1" x14ac:dyDescent="0.35">
      <c r="B12" s="10">
        <v>45369</v>
      </c>
      <c r="C12" s="11" t="s">
        <v>14</v>
      </c>
      <c r="D12" s="11"/>
      <c r="E12" s="12"/>
      <c r="F12" s="13"/>
      <c r="G12" s="13"/>
      <c r="H12" s="11">
        <v>50</v>
      </c>
      <c r="I12" s="13">
        <f>F10</f>
        <v>0.4</v>
      </c>
      <c r="J12" s="13">
        <f>H12*I12</f>
        <v>20</v>
      </c>
      <c r="K12" s="14">
        <f>K11-H12</f>
        <v>150</v>
      </c>
      <c r="L12" s="13">
        <f>L11-J12</f>
        <v>60</v>
      </c>
    </row>
    <row r="13" spans="1:12" ht="15" thickBot="1" x14ac:dyDescent="0.35">
      <c r="B13" s="10">
        <v>45372</v>
      </c>
      <c r="C13" s="11" t="s">
        <v>14</v>
      </c>
      <c r="D13" s="11"/>
      <c r="E13" s="15"/>
      <c r="F13" s="13"/>
      <c r="G13" s="13"/>
      <c r="H13" s="11">
        <v>120</v>
      </c>
      <c r="I13" s="13">
        <f>L12/K12</f>
        <v>0.4</v>
      </c>
      <c r="J13" s="13">
        <f>H13*I13</f>
        <v>48</v>
      </c>
      <c r="K13" s="14">
        <f>K12-H13</f>
        <v>30</v>
      </c>
      <c r="L13" s="13">
        <f>L12-J13</f>
        <v>12</v>
      </c>
    </row>
    <row r="14" spans="1:12" ht="15" thickBot="1" x14ac:dyDescent="0.35">
      <c r="B14" s="10">
        <v>45373</v>
      </c>
      <c r="C14" s="11" t="s">
        <v>13</v>
      </c>
      <c r="D14" s="11"/>
      <c r="E14" s="15">
        <v>300</v>
      </c>
      <c r="F14" s="13">
        <v>0.37</v>
      </c>
      <c r="G14" s="13">
        <f>E14*F14</f>
        <v>111</v>
      </c>
      <c r="H14" s="11"/>
      <c r="I14" s="13"/>
      <c r="J14" s="13"/>
      <c r="K14" s="14">
        <f>K13+E14</f>
        <v>330</v>
      </c>
      <c r="L14" s="13">
        <f>L13+G14</f>
        <v>123</v>
      </c>
    </row>
    <row r="15" spans="1:12" ht="15" thickBot="1" x14ac:dyDescent="0.35">
      <c r="B15" s="10"/>
      <c r="C15" s="11"/>
      <c r="D15" s="11"/>
      <c r="E15" s="15"/>
      <c r="F15" s="13"/>
      <c r="G15" s="13"/>
      <c r="H15" s="11"/>
      <c r="I15" s="13"/>
      <c r="J15" s="13"/>
      <c r="K15" s="14"/>
      <c r="L15" s="13"/>
    </row>
    <row r="16" spans="1:12" ht="15" thickBot="1" x14ac:dyDescent="0.35"/>
    <row r="17" spans="2:14" ht="15" thickBot="1" x14ac:dyDescent="0.35">
      <c r="B17" s="7" t="s">
        <v>20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ht="15" thickBot="1" x14ac:dyDescent="0.35">
      <c r="B18" s="8" t="s">
        <v>0</v>
      </c>
      <c r="C18" s="8" t="s">
        <v>1</v>
      </c>
      <c r="D18" s="8"/>
      <c r="E18" s="8"/>
      <c r="F18" s="8" t="s">
        <v>2</v>
      </c>
      <c r="G18" s="8"/>
      <c r="H18" s="8"/>
      <c r="I18" s="8" t="s">
        <v>3</v>
      </c>
      <c r="J18" s="8"/>
      <c r="K18" s="8"/>
      <c r="L18" s="8" t="s">
        <v>4</v>
      </c>
      <c r="M18" s="8"/>
      <c r="N18" s="8"/>
    </row>
    <row r="19" spans="2:14" ht="15" thickBot="1" x14ac:dyDescent="0.35">
      <c r="B19" s="8"/>
      <c r="C19" s="8" t="s">
        <v>5</v>
      </c>
      <c r="D19" s="8"/>
      <c r="E19" s="21" t="s">
        <v>19</v>
      </c>
      <c r="F19" s="9" t="s">
        <v>7</v>
      </c>
      <c r="G19" s="9" t="s">
        <v>8</v>
      </c>
      <c r="H19" s="9" t="s">
        <v>9</v>
      </c>
      <c r="I19" s="9" t="s">
        <v>7</v>
      </c>
      <c r="J19" s="9" t="s">
        <v>8</v>
      </c>
      <c r="K19" s="9" t="s">
        <v>9</v>
      </c>
      <c r="L19" s="9" t="s">
        <v>7</v>
      </c>
      <c r="M19" s="9" t="s">
        <v>8</v>
      </c>
      <c r="N19" s="9" t="s">
        <v>10</v>
      </c>
    </row>
    <row r="20" spans="2:14" ht="15" thickBot="1" x14ac:dyDescent="0.35">
      <c r="B20" s="10">
        <v>45292</v>
      </c>
      <c r="C20" s="22" t="s">
        <v>17</v>
      </c>
      <c r="D20" s="22"/>
      <c r="E20" s="23"/>
      <c r="F20" s="15">
        <v>100</v>
      </c>
      <c r="G20" s="18">
        <v>0.3</v>
      </c>
      <c r="H20" s="18">
        <f>F20*G20</f>
        <v>30</v>
      </c>
      <c r="I20" s="11"/>
      <c r="J20" s="18"/>
      <c r="K20" s="18">
        <f>I20*J20</f>
        <v>0</v>
      </c>
      <c r="L20" s="14">
        <f>F20</f>
        <v>100</v>
      </c>
      <c r="M20" s="14">
        <f>G20</f>
        <v>0.3</v>
      </c>
      <c r="N20" s="18">
        <f>H20</f>
        <v>30</v>
      </c>
    </row>
    <row r="21" spans="2:14" ht="15" thickBot="1" x14ac:dyDescent="0.35">
      <c r="B21" s="10">
        <v>45301</v>
      </c>
      <c r="C21" s="22" t="s">
        <v>13</v>
      </c>
      <c r="D21" s="22"/>
      <c r="E21" s="24"/>
      <c r="F21" s="15">
        <v>200</v>
      </c>
      <c r="G21" s="18">
        <v>0.35</v>
      </c>
      <c r="H21" s="18">
        <f t="shared" ref="H21:H29" si="0">F21*G21</f>
        <v>70</v>
      </c>
      <c r="I21" s="11"/>
      <c r="J21" s="18"/>
      <c r="K21" s="18">
        <f t="shared" ref="K21:K29" si="1">I21*J21</f>
        <v>0</v>
      </c>
      <c r="L21" s="14">
        <f>L20+F21</f>
        <v>300</v>
      </c>
      <c r="M21" s="18">
        <f>N21/L21</f>
        <v>0.33333333333333331</v>
      </c>
      <c r="N21" s="18">
        <f>N20+H21</f>
        <v>100</v>
      </c>
    </row>
    <row r="22" spans="2:14" ht="15" thickBot="1" x14ac:dyDescent="0.35">
      <c r="B22" s="10">
        <v>45342</v>
      </c>
      <c r="C22" s="22" t="s">
        <v>14</v>
      </c>
      <c r="D22" s="22"/>
      <c r="E22" s="24"/>
      <c r="F22" s="15"/>
      <c r="G22" s="18"/>
      <c r="H22" s="18">
        <f t="shared" si="0"/>
        <v>0</v>
      </c>
      <c r="I22" s="11">
        <v>100</v>
      </c>
      <c r="J22" s="18">
        <f>M21</f>
        <v>0.33333333333333331</v>
      </c>
      <c r="K22" s="18">
        <f t="shared" si="1"/>
        <v>33.333333333333329</v>
      </c>
      <c r="L22" s="14">
        <f>L21-I22</f>
        <v>200</v>
      </c>
      <c r="M22" s="18">
        <f t="shared" ref="M22:M29" si="2">N22/L22</f>
        <v>0.33333333333333337</v>
      </c>
      <c r="N22" s="18">
        <f>N21-K22</f>
        <v>66.666666666666671</v>
      </c>
    </row>
    <row r="23" spans="2:14" ht="15" thickBot="1" x14ac:dyDescent="0.35">
      <c r="B23" s="10">
        <v>45342</v>
      </c>
      <c r="C23" s="22" t="s">
        <v>14</v>
      </c>
      <c r="D23" s="22"/>
      <c r="E23" s="24"/>
      <c r="F23" s="15"/>
      <c r="G23" s="18"/>
      <c r="H23" s="18">
        <f t="shared" si="0"/>
        <v>0</v>
      </c>
      <c r="I23" s="11">
        <v>200</v>
      </c>
      <c r="J23" s="18">
        <f>M22</f>
        <v>0.33333333333333337</v>
      </c>
      <c r="K23" s="18">
        <f t="shared" si="1"/>
        <v>66.666666666666671</v>
      </c>
      <c r="L23" s="14">
        <f>L22-I23</f>
        <v>0</v>
      </c>
      <c r="M23" s="18">
        <v>0</v>
      </c>
      <c r="N23" s="18">
        <f>N22-K23</f>
        <v>0</v>
      </c>
    </row>
    <row r="24" spans="2:14" ht="15" thickBot="1" x14ac:dyDescent="0.35">
      <c r="B24" s="10">
        <v>45349</v>
      </c>
      <c r="C24" s="22" t="s">
        <v>13</v>
      </c>
      <c r="D24" s="22"/>
      <c r="E24" s="24"/>
      <c r="F24" s="15">
        <v>200</v>
      </c>
      <c r="G24" s="18">
        <v>0.38</v>
      </c>
      <c r="H24" s="18">
        <f t="shared" si="0"/>
        <v>76</v>
      </c>
      <c r="I24" s="11"/>
      <c r="J24" s="18"/>
      <c r="K24" s="18">
        <f t="shared" si="1"/>
        <v>0</v>
      </c>
      <c r="L24" s="14">
        <f>L23+F24</f>
        <v>200</v>
      </c>
      <c r="M24" s="18">
        <f t="shared" si="2"/>
        <v>0.38</v>
      </c>
      <c r="N24" s="18">
        <f>N23+H24</f>
        <v>76</v>
      </c>
    </row>
    <row r="25" spans="2:14" ht="15" thickBot="1" x14ac:dyDescent="0.35">
      <c r="B25" s="10">
        <v>45366</v>
      </c>
      <c r="C25" s="22" t="s">
        <v>13</v>
      </c>
      <c r="D25" s="22"/>
      <c r="E25" s="24"/>
      <c r="F25" s="15">
        <v>200</v>
      </c>
      <c r="G25" s="18">
        <v>0.4</v>
      </c>
      <c r="H25" s="18">
        <f t="shared" si="0"/>
        <v>80</v>
      </c>
      <c r="I25" s="11"/>
      <c r="J25" s="18"/>
      <c r="K25" s="18">
        <f t="shared" si="1"/>
        <v>0</v>
      </c>
      <c r="L25" s="14">
        <f>L24+F25</f>
        <v>400</v>
      </c>
      <c r="M25" s="18">
        <f t="shared" si="2"/>
        <v>0.39</v>
      </c>
      <c r="N25" s="18">
        <f>N24+H25</f>
        <v>156</v>
      </c>
    </row>
    <row r="26" spans="2:14" ht="15" thickBot="1" x14ac:dyDescent="0.35">
      <c r="B26" s="10">
        <v>45369</v>
      </c>
      <c r="C26" s="22" t="s">
        <v>14</v>
      </c>
      <c r="D26" s="22"/>
      <c r="E26" s="25"/>
      <c r="F26" s="15"/>
      <c r="G26" s="18"/>
      <c r="H26" s="18">
        <f t="shared" si="0"/>
        <v>0</v>
      </c>
      <c r="I26" s="11">
        <v>200</v>
      </c>
      <c r="J26" s="18">
        <f>M25</f>
        <v>0.39</v>
      </c>
      <c r="K26" s="18">
        <f t="shared" si="1"/>
        <v>78</v>
      </c>
      <c r="L26" s="14">
        <f>L25-I26</f>
        <v>200</v>
      </c>
      <c r="M26" s="18">
        <f>N26/L26</f>
        <v>0.39</v>
      </c>
      <c r="N26" s="18">
        <f>N25-K26</f>
        <v>78</v>
      </c>
    </row>
    <row r="27" spans="2:14" ht="15" thickBot="1" x14ac:dyDescent="0.35">
      <c r="B27" s="10">
        <v>45369</v>
      </c>
      <c r="C27" s="26" t="s">
        <v>14</v>
      </c>
      <c r="D27" s="26"/>
      <c r="E27" s="25"/>
      <c r="F27" s="15"/>
      <c r="G27" s="18"/>
      <c r="H27" s="18">
        <f t="shared" si="0"/>
        <v>0</v>
      </c>
      <c r="I27" s="11">
        <v>50</v>
      </c>
      <c r="J27" s="18">
        <f>M26</f>
        <v>0.39</v>
      </c>
      <c r="K27" s="18">
        <f>I27*J27</f>
        <v>19.5</v>
      </c>
      <c r="L27" s="14">
        <f>L26-I27</f>
        <v>150</v>
      </c>
      <c r="M27" s="18">
        <f>N27/L27</f>
        <v>0.39</v>
      </c>
      <c r="N27" s="18">
        <f>N26-K27</f>
        <v>58.5</v>
      </c>
    </row>
    <row r="28" spans="2:14" ht="15" thickBot="1" x14ac:dyDescent="0.35">
      <c r="B28" s="10">
        <v>45372</v>
      </c>
      <c r="C28" s="22" t="s">
        <v>14</v>
      </c>
      <c r="D28" s="22"/>
      <c r="E28" s="24"/>
      <c r="F28" s="15"/>
      <c r="G28" s="18"/>
      <c r="H28" s="18">
        <f t="shared" si="0"/>
        <v>0</v>
      </c>
      <c r="I28" s="11">
        <v>120</v>
      </c>
      <c r="J28" s="18">
        <f>M26</f>
        <v>0.39</v>
      </c>
      <c r="K28" s="18">
        <f t="shared" si="1"/>
        <v>46.800000000000004</v>
      </c>
      <c r="L28" s="14">
        <f>L27-I28</f>
        <v>30</v>
      </c>
      <c r="M28" s="18">
        <f t="shared" si="2"/>
        <v>0.38999999999999985</v>
      </c>
      <c r="N28" s="18">
        <f>N27-K28</f>
        <v>11.699999999999996</v>
      </c>
    </row>
    <row r="29" spans="2:14" ht="15" thickBot="1" x14ac:dyDescent="0.35">
      <c r="B29" s="10">
        <v>45373</v>
      </c>
      <c r="C29" s="22" t="s">
        <v>13</v>
      </c>
      <c r="D29" s="22"/>
      <c r="E29" s="24"/>
      <c r="F29" s="15">
        <v>300</v>
      </c>
      <c r="G29" s="18">
        <v>0.37</v>
      </c>
      <c r="H29" s="18">
        <f t="shared" si="0"/>
        <v>111</v>
      </c>
      <c r="I29" s="11"/>
      <c r="J29" s="18"/>
      <c r="K29" s="18">
        <f t="shared" si="1"/>
        <v>0</v>
      </c>
      <c r="L29" s="14">
        <f>L28+F29</f>
        <v>330</v>
      </c>
      <c r="M29" s="18">
        <f t="shared" si="2"/>
        <v>0.37181818181818177</v>
      </c>
      <c r="N29" s="18">
        <f>N28+H29</f>
        <v>122.69999999999999</v>
      </c>
    </row>
  </sheetData>
  <mergeCells count="24">
    <mergeCell ref="C26:D26"/>
    <mergeCell ref="C27:D27"/>
    <mergeCell ref="C28:D28"/>
    <mergeCell ref="C29:D29"/>
    <mergeCell ref="B17:N17"/>
    <mergeCell ref="A1:C1"/>
    <mergeCell ref="C20:D20"/>
    <mergeCell ref="C21:D21"/>
    <mergeCell ref="C22:D22"/>
    <mergeCell ref="C23:D23"/>
    <mergeCell ref="C24:D24"/>
    <mergeCell ref="C25:D25"/>
    <mergeCell ref="B18:B19"/>
    <mergeCell ref="C18:E18"/>
    <mergeCell ref="F18:H18"/>
    <mergeCell ref="I18:K18"/>
    <mergeCell ref="L18:N18"/>
    <mergeCell ref="C19:D19"/>
    <mergeCell ref="B2:L2"/>
    <mergeCell ref="B3:B4"/>
    <mergeCell ref="C3:D3"/>
    <mergeCell ref="E3:G3"/>
    <mergeCell ref="H3:J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L1" workbookViewId="0">
      <selection activeCell="L1" sqref="L1:N1"/>
    </sheetView>
  </sheetViews>
  <sheetFormatPr baseColWidth="10" defaultRowHeight="14.4" x14ac:dyDescent="0.3"/>
  <cols>
    <col min="9" max="9" width="23.109375" bestFit="1" customWidth="1"/>
  </cols>
  <sheetData>
    <row r="1" spans="1:23" ht="15" thickBot="1" x14ac:dyDescent="0.35">
      <c r="L1" s="6" t="s">
        <v>61</v>
      </c>
      <c r="M1" s="6"/>
      <c r="N1" s="6"/>
    </row>
    <row r="2" spans="1:23" ht="15" thickBot="1" x14ac:dyDescent="0.35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L2" s="45" t="s">
        <v>20</v>
      </c>
      <c r="M2" s="46"/>
      <c r="N2" s="46"/>
      <c r="O2" s="46"/>
      <c r="P2" s="8" t="s">
        <v>31</v>
      </c>
      <c r="Q2" s="8"/>
      <c r="R2" s="8"/>
      <c r="S2" s="8"/>
      <c r="T2" s="8"/>
      <c r="U2" s="8"/>
      <c r="V2" s="8"/>
      <c r="W2" s="8"/>
    </row>
    <row r="3" spans="1:23" ht="15" thickBot="1" x14ac:dyDescent="0.35">
      <c r="A3" s="29" t="s">
        <v>22</v>
      </c>
      <c r="B3" s="29" t="s">
        <v>23</v>
      </c>
      <c r="C3" s="29" t="s">
        <v>59</v>
      </c>
      <c r="D3" s="29" t="s">
        <v>24</v>
      </c>
      <c r="E3" s="29" t="s">
        <v>25</v>
      </c>
      <c r="F3" s="29" t="s">
        <v>26</v>
      </c>
      <c r="G3" s="29" t="s">
        <v>27</v>
      </c>
      <c r="H3" s="29" t="s">
        <v>28</v>
      </c>
      <c r="I3" s="29" t="s">
        <v>57</v>
      </c>
      <c r="J3" s="29" t="s">
        <v>35</v>
      </c>
      <c r="L3" s="8" t="s">
        <v>0</v>
      </c>
      <c r="M3" s="8" t="s">
        <v>1</v>
      </c>
      <c r="N3" s="8"/>
      <c r="O3" s="8" t="s">
        <v>2</v>
      </c>
      <c r="P3" s="8"/>
      <c r="Q3" s="8"/>
      <c r="R3" s="8" t="s">
        <v>3</v>
      </c>
      <c r="S3" s="8"/>
      <c r="T3" s="8"/>
      <c r="U3" s="8" t="s">
        <v>4</v>
      </c>
      <c r="V3" s="8"/>
      <c r="W3" s="8"/>
    </row>
    <row r="4" spans="1:23" ht="15" thickBot="1" x14ac:dyDescent="0.35">
      <c r="A4" s="30">
        <v>45303</v>
      </c>
      <c r="B4" s="30" t="s">
        <v>13</v>
      </c>
      <c r="C4" s="42">
        <v>4.5999999999999996</v>
      </c>
      <c r="D4" s="31">
        <f>C4*0.95</f>
        <v>4.3699999999999992</v>
      </c>
      <c r="E4" s="31">
        <f>(260*4.6)*0.21</f>
        <v>251.16</v>
      </c>
      <c r="F4" s="32">
        <f>6.2/3</f>
        <v>2.0666666666666669</v>
      </c>
      <c r="G4" s="32">
        <f>9.4/3</f>
        <v>3.1333333333333333</v>
      </c>
      <c r="H4" s="31">
        <f>18.6/3</f>
        <v>6.2</v>
      </c>
      <c r="I4" s="31">
        <f>H4+G4+F4</f>
        <v>11.4</v>
      </c>
      <c r="J4" s="33">
        <f>(C4-D4)+I4</f>
        <v>11.63</v>
      </c>
      <c r="L4" s="8"/>
      <c r="M4" s="8" t="s">
        <v>5</v>
      </c>
      <c r="N4" s="8"/>
      <c r="O4" s="9" t="s">
        <v>7</v>
      </c>
      <c r="P4" s="9" t="s">
        <v>8</v>
      </c>
      <c r="Q4" s="9" t="s">
        <v>9</v>
      </c>
      <c r="R4" s="9" t="s">
        <v>7</v>
      </c>
      <c r="S4" s="9" t="s">
        <v>8</v>
      </c>
      <c r="T4" s="9" t="s">
        <v>9</v>
      </c>
      <c r="U4" s="9" t="s">
        <v>7</v>
      </c>
      <c r="V4" s="9" t="s">
        <v>8</v>
      </c>
      <c r="W4" s="9" t="s">
        <v>10</v>
      </c>
    </row>
    <row r="5" spans="1:23" ht="15" thickBot="1" x14ac:dyDescent="0.35">
      <c r="A5" s="30">
        <v>45307</v>
      </c>
      <c r="B5" s="30" t="s">
        <v>13</v>
      </c>
      <c r="C5" s="42">
        <v>4.7</v>
      </c>
      <c r="D5" s="31">
        <f>(C5*0.93)</f>
        <v>4.3710000000000004</v>
      </c>
      <c r="E5" s="31">
        <f>(200*4.7)*0.21</f>
        <v>197.4</v>
      </c>
      <c r="F5" s="32">
        <f>18.4/3</f>
        <v>6.1333333333333329</v>
      </c>
      <c r="G5" s="31">
        <f>9.3/3</f>
        <v>3.1</v>
      </c>
      <c r="H5" s="31">
        <f>24.2/3</f>
        <v>8.0666666666666664</v>
      </c>
      <c r="I5" s="31">
        <f>H5+G5+F5</f>
        <v>17.299999999999997</v>
      </c>
      <c r="J5" s="33">
        <f>(C5-D5)+I5</f>
        <v>17.628999999999998</v>
      </c>
      <c r="L5" s="10">
        <v>45292</v>
      </c>
      <c r="M5" s="22" t="s">
        <v>17</v>
      </c>
      <c r="N5" s="22"/>
      <c r="O5" s="15"/>
      <c r="P5" s="18"/>
      <c r="Q5" s="18"/>
      <c r="R5" s="11"/>
      <c r="S5" s="18"/>
      <c r="T5" s="18">
        <f>R5*S5</f>
        <v>0</v>
      </c>
      <c r="U5" s="14">
        <v>1500</v>
      </c>
      <c r="V5" s="47">
        <v>4.5</v>
      </c>
      <c r="W5" s="18">
        <v>6750</v>
      </c>
    </row>
    <row r="6" spans="1:23" ht="15" thickBot="1" x14ac:dyDescent="0.35">
      <c r="A6" s="30"/>
      <c r="B6" s="30"/>
      <c r="C6" s="42"/>
      <c r="D6" s="31"/>
      <c r="E6" s="31"/>
      <c r="F6" s="31"/>
      <c r="G6" s="31"/>
      <c r="H6" s="31"/>
      <c r="I6" s="31"/>
      <c r="J6" s="33"/>
      <c r="L6" s="10">
        <v>45298</v>
      </c>
      <c r="M6" s="22" t="s">
        <v>14</v>
      </c>
      <c r="N6" s="22"/>
      <c r="O6" s="15"/>
      <c r="P6" s="18"/>
      <c r="Q6" s="18">
        <f t="shared" ref="Q6:Q11" si="0">O6*P6</f>
        <v>0</v>
      </c>
      <c r="R6" s="11">
        <v>500</v>
      </c>
      <c r="S6" s="18">
        <f>V5</f>
        <v>4.5</v>
      </c>
      <c r="T6" s="18">
        <f>R6*S6</f>
        <v>2250</v>
      </c>
      <c r="U6" s="14">
        <f>U5-R6</f>
        <v>1000</v>
      </c>
      <c r="V6" s="18">
        <f>W6/U6</f>
        <v>4.5</v>
      </c>
      <c r="W6" s="18">
        <f>W5-T6</f>
        <v>4500</v>
      </c>
    </row>
    <row r="7" spans="1:23" ht="1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L7" s="10">
        <v>45303</v>
      </c>
      <c r="M7" s="22" t="s">
        <v>13</v>
      </c>
      <c r="N7" s="22"/>
      <c r="O7" s="15">
        <v>250</v>
      </c>
      <c r="P7" s="18">
        <f>(C4*0.95)+(I4/O7)</f>
        <v>4.4155999999999995</v>
      </c>
      <c r="Q7" s="18">
        <f>O7*P7</f>
        <v>1103.8999999999999</v>
      </c>
      <c r="R7" s="11"/>
      <c r="S7" s="18"/>
      <c r="T7" s="18">
        <f>R7*S7</f>
        <v>0</v>
      </c>
      <c r="U7" s="14">
        <f>U6+O7</f>
        <v>1250</v>
      </c>
      <c r="V7" s="18">
        <f>W7/U7</f>
        <v>4.4831199999999995</v>
      </c>
      <c r="W7" s="18">
        <f>W6+Q7</f>
        <v>5603.9</v>
      </c>
    </row>
    <row r="8" spans="1:23" ht="15" thickBot="1" x14ac:dyDescent="0.35">
      <c r="A8" s="28" t="s">
        <v>29</v>
      </c>
      <c r="B8" s="28"/>
      <c r="C8" s="28"/>
      <c r="D8" s="28"/>
      <c r="E8" s="28"/>
      <c r="F8" s="28"/>
      <c r="G8" s="28"/>
      <c r="H8" s="28"/>
      <c r="I8" s="28"/>
      <c r="J8" s="28"/>
      <c r="L8" s="10">
        <v>45306</v>
      </c>
      <c r="M8" s="22" t="s">
        <v>14</v>
      </c>
      <c r="N8" s="22"/>
      <c r="O8" s="15"/>
      <c r="P8" s="18"/>
      <c r="Q8" s="18"/>
      <c r="R8" s="11">
        <v>300</v>
      </c>
      <c r="S8" s="18">
        <f>V7</f>
        <v>4.4831199999999995</v>
      </c>
      <c r="T8" s="18">
        <f>R8*S8</f>
        <v>1344.9359999999999</v>
      </c>
      <c r="U8" s="14">
        <f>U7-R8</f>
        <v>950</v>
      </c>
      <c r="V8" s="18">
        <f>W8/U8</f>
        <v>4.4831199999999995</v>
      </c>
      <c r="W8" s="18">
        <f>W7-T8</f>
        <v>4258.9639999999999</v>
      </c>
    </row>
    <row r="9" spans="1:23" ht="15" thickBot="1" x14ac:dyDescent="0.35">
      <c r="A9" s="29" t="s">
        <v>22</v>
      </c>
      <c r="B9" s="29" t="s">
        <v>23</v>
      </c>
      <c r="C9" s="29" t="s">
        <v>59</v>
      </c>
      <c r="D9" s="29" t="s">
        <v>24</v>
      </c>
      <c r="E9" s="29" t="s">
        <v>25</v>
      </c>
      <c r="F9" s="29" t="s">
        <v>26</v>
      </c>
      <c r="G9" s="29" t="s">
        <v>27</v>
      </c>
      <c r="H9" s="29" t="s">
        <v>28</v>
      </c>
      <c r="I9" s="29" t="s">
        <v>60</v>
      </c>
      <c r="J9" s="29" t="s">
        <v>35</v>
      </c>
      <c r="L9" s="10">
        <v>45307</v>
      </c>
      <c r="M9" s="22" t="s">
        <v>13</v>
      </c>
      <c r="N9" s="22"/>
      <c r="O9" s="15">
        <v>200</v>
      </c>
      <c r="P9" s="18">
        <f>(C5*0.93)+(I5/O9)</f>
        <v>4.4575000000000005</v>
      </c>
      <c r="Q9" s="18">
        <f>(O9*P9)+AF5</f>
        <v>891.50000000000011</v>
      </c>
      <c r="R9" s="11"/>
      <c r="S9" s="18"/>
      <c r="T9" s="18">
        <f>R9*S9</f>
        <v>0</v>
      </c>
      <c r="U9" s="14">
        <f>U8+O9</f>
        <v>1150</v>
      </c>
      <c r="V9" s="18">
        <f>W9/U9</f>
        <v>4.4786643478260872</v>
      </c>
      <c r="W9" s="18">
        <f>W8+Q9</f>
        <v>5150.4639999999999</v>
      </c>
    </row>
    <row r="10" spans="1:23" ht="15" thickBot="1" x14ac:dyDescent="0.35">
      <c r="A10" s="30">
        <v>45303</v>
      </c>
      <c r="B10" s="30" t="s">
        <v>13</v>
      </c>
      <c r="C10" s="43">
        <v>5.2</v>
      </c>
      <c r="D10" s="31">
        <f>C10*0.95</f>
        <v>4.9399999999999995</v>
      </c>
      <c r="E10" s="31">
        <f>250*5.2*0.21</f>
        <v>273</v>
      </c>
      <c r="F10" s="32">
        <f>6.2/3</f>
        <v>2.0666666666666669</v>
      </c>
      <c r="G10" s="32">
        <f>9.4/3</f>
        <v>3.1333333333333333</v>
      </c>
      <c r="H10" s="31">
        <f>18.6/3</f>
        <v>6.2</v>
      </c>
      <c r="I10" s="31">
        <f>F10+G10+H10</f>
        <v>11.4</v>
      </c>
      <c r="J10" s="33">
        <f>(C10-D10)+I10</f>
        <v>11.66</v>
      </c>
      <c r="L10" s="10">
        <v>45308</v>
      </c>
      <c r="M10" s="22" t="s">
        <v>14</v>
      </c>
      <c r="N10" s="22"/>
      <c r="O10" s="15"/>
      <c r="P10" s="18"/>
      <c r="Q10" s="18">
        <f t="shared" si="0"/>
        <v>0</v>
      </c>
      <c r="R10" s="11">
        <v>100</v>
      </c>
      <c r="S10" s="48">
        <f>V9</f>
        <v>4.4786643478260872</v>
      </c>
      <c r="T10" s="18">
        <f>(R10*S10)+AF6</f>
        <v>447.86643478260874</v>
      </c>
      <c r="U10" s="14">
        <f>U9-R10</f>
        <v>1050</v>
      </c>
      <c r="V10" s="18">
        <f>W10/U10</f>
        <v>4.4786643478260864</v>
      </c>
      <c r="W10" s="18">
        <f>W9-T10</f>
        <v>4702.5975652173911</v>
      </c>
    </row>
    <row r="11" spans="1:23" ht="15" thickBot="1" x14ac:dyDescent="0.35">
      <c r="A11" s="30">
        <v>45307</v>
      </c>
      <c r="B11" s="30" t="s">
        <v>13</v>
      </c>
      <c r="C11" s="43">
        <v>4.9000000000000004</v>
      </c>
      <c r="D11" s="31">
        <f>C11*0.93</f>
        <v>4.5570000000000004</v>
      </c>
      <c r="E11" s="31">
        <f>300*4.9*0.21</f>
        <v>308.7</v>
      </c>
      <c r="F11" s="32">
        <f>18.4/3</f>
        <v>6.1333333333333329</v>
      </c>
      <c r="G11" s="31">
        <f>9.3/3</f>
        <v>3.1</v>
      </c>
      <c r="H11" s="31">
        <f>24.2/3</f>
        <v>8.0666666666666664</v>
      </c>
      <c r="I11" s="31">
        <f>F11+G11+H11</f>
        <v>17.299999999999997</v>
      </c>
      <c r="J11" s="33">
        <f>(C11-D11)+I11</f>
        <v>17.642999999999997</v>
      </c>
      <c r="L11" s="10">
        <v>45319</v>
      </c>
      <c r="M11" s="22" t="s">
        <v>14</v>
      </c>
      <c r="N11" s="22"/>
      <c r="O11" s="15"/>
      <c r="P11" s="18"/>
      <c r="Q11" s="18">
        <f t="shared" si="0"/>
        <v>0</v>
      </c>
      <c r="R11" s="11">
        <v>1050</v>
      </c>
      <c r="S11" s="18">
        <f>V10</f>
        <v>4.4786643478260864</v>
      </c>
      <c r="T11" s="18">
        <f>R11*S11</f>
        <v>4702.5975652173911</v>
      </c>
      <c r="U11" s="14">
        <f>U10-R11</f>
        <v>0</v>
      </c>
      <c r="V11" s="18">
        <v>0</v>
      </c>
      <c r="W11" s="18">
        <f>W10-T11</f>
        <v>0</v>
      </c>
    </row>
    <row r="12" spans="1:23" ht="15" thickBot="1" x14ac:dyDescent="0.35">
      <c r="A12" s="30"/>
      <c r="B12" s="30"/>
      <c r="C12" s="43"/>
      <c r="D12" s="31"/>
      <c r="E12" s="31"/>
      <c r="F12" s="31"/>
      <c r="G12" s="31"/>
      <c r="H12" s="31"/>
      <c r="I12" s="31"/>
      <c r="J12" s="33"/>
      <c r="S12" s="27"/>
      <c r="T12" s="27"/>
      <c r="V12" s="27"/>
      <c r="W12" s="27"/>
    </row>
    <row r="13" spans="1:23" ht="15" thickBot="1" x14ac:dyDescent="0.35">
      <c r="L13" s="45" t="s">
        <v>33</v>
      </c>
      <c r="M13" s="45"/>
      <c r="N13" s="45"/>
      <c r="O13" s="45"/>
      <c r="P13" s="8" t="s">
        <v>32</v>
      </c>
      <c r="Q13" s="8"/>
      <c r="R13" s="8"/>
      <c r="S13" s="8"/>
      <c r="T13" s="8"/>
      <c r="U13" s="8"/>
      <c r="V13" s="8"/>
      <c r="W13" s="8"/>
    </row>
    <row r="14" spans="1:23" ht="15" thickBot="1" x14ac:dyDescent="0.35">
      <c r="A14" s="28" t="s">
        <v>30</v>
      </c>
      <c r="B14" s="28"/>
      <c r="C14" s="28"/>
      <c r="D14" s="28"/>
      <c r="E14" s="28"/>
      <c r="F14" s="28"/>
      <c r="G14" s="28"/>
      <c r="H14" s="28"/>
      <c r="I14" s="28"/>
      <c r="J14" s="28"/>
      <c r="L14" s="8" t="s">
        <v>0</v>
      </c>
      <c r="M14" s="8" t="s">
        <v>1</v>
      </c>
      <c r="N14" s="8"/>
      <c r="O14" s="8" t="s">
        <v>2</v>
      </c>
      <c r="P14" s="8"/>
      <c r="Q14" s="8"/>
      <c r="R14" s="8" t="s">
        <v>3</v>
      </c>
      <c r="S14" s="8"/>
      <c r="T14" s="8"/>
      <c r="U14" s="8" t="s">
        <v>4</v>
      </c>
      <c r="V14" s="8"/>
      <c r="W14" s="8"/>
    </row>
    <row r="15" spans="1:23" ht="15" thickBot="1" x14ac:dyDescent="0.35">
      <c r="A15" s="29" t="s">
        <v>22</v>
      </c>
      <c r="B15" s="29" t="s">
        <v>23</v>
      </c>
      <c r="C15" s="29" t="s">
        <v>59</v>
      </c>
      <c r="D15" s="29" t="s">
        <v>24</v>
      </c>
      <c r="E15" s="29" t="s">
        <v>25</v>
      </c>
      <c r="F15" s="29" t="s">
        <v>26</v>
      </c>
      <c r="G15" s="29" t="s">
        <v>27</v>
      </c>
      <c r="H15" s="29" t="s">
        <v>28</v>
      </c>
      <c r="I15" s="29" t="s">
        <v>60</v>
      </c>
      <c r="J15" s="29" t="s">
        <v>35</v>
      </c>
      <c r="L15" s="8"/>
      <c r="M15" s="8" t="s">
        <v>5</v>
      </c>
      <c r="N15" s="8"/>
      <c r="O15" s="9" t="s">
        <v>7</v>
      </c>
      <c r="P15" s="9" t="s">
        <v>8</v>
      </c>
      <c r="Q15" s="9" t="s">
        <v>9</v>
      </c>
      <c r="R15" s="9" t="s">
        <v>7</v>
      </c>
      <c r="S15" s="9" t="s">
        <v>8</v>
      </c>
      <c r="T15" s="9" t="s">
        <v>9</v>
      </c>
      <c r="U15" s="9" t="s">
        <v>7</v>
      </c>
      <c r="V15" s="9" t="s">
        <v>8</v>
      </c>
      <c r="W15" s="9" t="s">
        <v>10</v>
      </c>
    </row>
    <row r="16" spans="1:23" ht="15" thickBot="1" x14ac:dyDescent="0.35">
      <c r="A16" s="30">
        <v>45303</v>
      </c>
      <c r="B16" s="30" t="s">
        <v>13</v>
      </c>
      <c r="C16" s="44">
        <v>5.3</v>
      </c>
      <c r="D16" s="31">
        <f>C16*0.95</f>
        <v>5.0349999999999993</v>
      </c>
      <c r="E16" s="31">
        <f>50*5.3*0.21</f>
        <v>55.65</v>
      </c>
      <c r="F16" s="32">
        <f>6.2/3</f>
        <v>2.0666666666666669</v>
      </c>
      <c r="G16" s="32">
        <f>9.4/3</f>
        <v>3.1333333333333333</v>
      </c>
      <c r="H16" s="31">
        <f>18.6/3</f>
        <v>6.2</v>
      </c>
      <c r="I16" s="31">
        <f>F16+G16+H16</f>
        <v>11.4</v>
      </c>
      <c r="J16" s="33">
        <f>(C16-D16)+I16</f>
        <v>11.665000000000001</v>
      </c>
      <c r="L16" s="10">
        <v>45292</v>
      </c>
      <c r="M16" s="22" t="s">
        <v>17</v>
      </c>
      <c r="N16" s="22"/>
      <c r="O16" s="15">
        <v>2000</v>
      </c>
      <c r="P16" s="18">
        <v>4.08</v>
      </c>
      <c r="Q16" s="18">
        <f>O16*P16</f>
        <v>8160</v>
      </c>
      <c r="R16" s="11"/>
      <c r="S16" s="18"/>
      <c r="T16" s="18">
        <f>R16*S16</f>
        <v>0</v>
      </c>
      <c r="U16" s="14">
        <f>O16</f>
        <v>2000</v>
      </c>
      <c r="V16" s="14">
        <f>P16</f>
        <v>4.08</v>
      </c>
      <c r="W16" s="18">
        <f>Q16</f>
        <v>8160</v>
      </c>
    </row>
    <row r="17" spans="1:23" ht="15" thickBot="1" x14ac:dyDescent="0.35">
      <c r="A17" s="30">
        <v>45307</v>
      </c>
      <c r="B17" s="30" t="s">
        <v>13</v>
      </c>
      <c r="C17" s="44">
        <v>5.2</v>
      </c>
      <c r="D17" s="31">
        <f>C17*0.93</f>
        <v>4.8360000000000003</v>
      </c>
      <c r="E17" s="31">
        <f>350*5.2*0.21</f>
        <v>382.2</v>
      </c>
      <c r="F17" s="32">
        <f>18.4/3</f>
        <v>6.1333333333333329</v>
      </c>
      <c r="G17" s="31">
        <f>9.3/3</f>
        <v>3.1</v>
      </c>
      <c r="H17" s="31">
        <f>24.2/3</f>
        <v>8.0666666666666664</v>
      </c>
      <c r="I17" s="31">
        <f>F17+G17+H17</f>
        <v>17.299999999999997</v>
      </c>
      <c r="J17" s="33">
        <f>(C17-D17)+I17</f>
        <v>17.663999999999998</v>
      </c>
      <c r="L17" s="10">
        <v>45301</v>
      </c>
      <c r="M17" s="22" t="s">
        <v>14</v>
      </c>
      <c r="N17" s="22"/>
      <c r="O17" s="15"/>
      <c r="P17" s="18"/>
      <c r="Q17" s="18">
        <f t="shared" ref="Q17:Q22" si="1">O17*P17</f>
        <v>0</v>
      </c>
      <c r="R17" s="11">
        <v>150</v>
      </c>
      <c r="S17" s="18">
        <f>P16</f>
        <v>4.08</v>
      </c>
      <c r="T17" s="18">
        <f t="shared" ref="T17:T22" si="2">R17*S17</f>
        <v>612</v>
      </c>
      <c r="U17" s="14">
        <f>U16-R17</f>
        <v>1850</v>
      </c>
      <c r="V17" s="18"/>
      <c r="W17" s="18">
        <f>W16-T17</f>
        <v>7548</v>
      </c>
    </row>
    <row r="18" spans="1:23" ht="15" thickBot="1" x14ac:dyDescent="0.35">
      <c r="A18" s="30"/>
      <c r="B18" s="30"/>
      <c r="C18" s="44"/>
      <c r="D18" s="31"/>
      <c r="E18" s="31"/>
      <c r="F18" s="31"/>
      <c r="G18" s="31"/>
      <c r="H18" s="31"/>
      <c r="I18" s="31"/>
      <c r="J18" s="33"/>
      <c r="L18" s="10">
        <v>45303</v>
      </c>
      <c r="M18" s="22" t="s">
        <v>13</v>
      </c>
      <c r="N18" s="22"/>
      <c r="O18" s="15">
        <v>250</v>
      </c>
      <c r="P18" s="18">
        <f>(C10*0.95)+I10/O18</f>
        <v>4.9855999999999998</v>
      </c>
      <c r="Q18" s="18">
        <f>(O18*P18)+AF10</f>
        <v>1246.3999999999999</v>
      </c>
      <c r="R18" s="11"/>
      <c r="S18" s="18"/>
      <c r="T18" s="18">
        <f t="shared" si="2"/>
        <v>0</v>
      </c>
      <c r="U18" s="14">
        <f>U17+O18</f>
        <v>2100</v>
      </c>
      <c r="V18" s="18"/>
      <c r="W18" s="18">
        <f>W17+Q18</f>
        <v>8794.4</v>
      </c>
    </row>
    <row r="19" spans="1:23" ht="15" thickBot="1" x14ac:dyDescent="0.35">
      <c r="L19" s="10">
        <v>45306</v>
      </c>
      <c r="M19" s="22" t="s">
        <v>14</v>
      </c>
      <c r="N19" s="22"/>
      <c r="O19" s="15"/>
      <c r="P19" s="18"/>
      <c r="Q19" s="18">
        <f t="shared" si="1"/>
        <v>0</v>
      </c>
      <c r="R19" s="11">
        <v>500</v>
      </c>
      <c r="S19" s="18">
        <f>P16</f>
        <v>4.08</v>
      </c>
      <c r="T19" s="18">
        <f t="shared" si="2"/>
        <v>2040</v>
      </c>
      <c r="U19" s="14">
        <f>U18-R19</f>
        <v>1600</v>
      </c>
      <c r="V19" s="18"/>
      <c r="W19" s="18">
        <f>W18-T19</f>
        <v>6754.4</v>
      </c>
    </row>
    <row r="20" spans="1:23" ht="15" thickBot="1" x14ac:dyDescent="0.35">
      <c r="L20" s="10">
        <v>45307</v>
      </c>
      <c r="M20" s="22" t="s">
        <v>13</v>
      </c>
      <c r="N20" s="22"/>
      <c r="O20" s="15">
        <v>300</v>
      </c>
      <c r="P20" s="18">
        <f>(C11*0.93)+(I11/O20)</f>
        <v>4.6146666666666674</v>
      </c>
      <c r="Q20" s="18">
        <f>(O20*P20)+AF11</f>
        <v>1384.4000000000003</v>
      </c>
      <c r="R20" s="11"/>
      <c r="S20" s="18"/>
      <c r="T20" s="18">
        <f t="shared" si="2"/>
        <v>0</v>
      </c>
      <c r="U20" s="14">
        <f>U19+O20</f>
        <v>1900</v>
      </c>
      <c r="V20" s="18"/>
      <c r="W20" s="18">
        <f>W19+Q20</f>
        <v>8138.8</v>
      </c>
    </row>
    <row r="21" spans="1:23" ht="15" thickBot="1" x14ac:dyDescent="0.35">
      <c r="L21" s="10">
        <v>45308</v>
      </c>
      <c r="M21" s="22" t="s">
        <v>14</v>
      </c>
      <c r="N21" s="22"/>
      <c r="O21" s="15"/>
      <c r="P21" s="18"/>
      <c r="Q21" s="18">
        <f t="shared" si="1"/>
        <v>0</v>
      </c>
      <c r="R21" s="11">
        <v>120</v>
      </c>
      <c r="S21" s="18">
        <f>P16</f>
        <v>4.08</v>
      </c>
      <c r="T21" s="18">
        <f>(R21*S21)+AF12</f>
        <v>489.6</v>
      </c>
      <c r="U21" s="14">
        <f>U20-R21</f>
        <v>1780</v>
      </c>
      <c r="V21" s="18"/>
      <c r="W21" s="18">
        <f>W20-T21</f>
        <v>7649.2</v>
      </c>
    </row>
    <row r="22" spans="1:23" ht="15" thickBot="1" x14ac:dyDescent="0.35">
      <c r="L22" s="10">
        <v>45319</v>
      </c>
      <c r="M22" s="22" t="s">
        <v>14</v>
      </c>
      <c r="N22" s="22"/>
      <c r="O22" s="15"/>
      <c r="P22" s="18"/>
      <c r="Q22" s="18">
        <f t="shared" si="1"/>
        <v>0</v>
      </c>
      <c r="R22" s="11">
        <v>500</v>
      </c>
      <c r="S22" s="18">
        <f>P16</f>
        <v>4.08</v>
      </c>
      <c r="T22" s="18">
        <f t="shared" si="2"/>
        <v>2040</v>
      </c>
      <c r="U22" s="14">
        <f>U21-R22</f>
        <v>1280</v>
      </c>
      <c r="V22" s="18"/>
      <c r="W22" s="18">
        <f>W21-T22</f>
        <v>5609.2</v>
      </c>
    </row>
    <row r="23" spans="1:23" ht="15" thickBot="1" x14ac:dyDescent="0.35">
      <c r="S23" s="27"/>
      <c r="T23" s="27"/>
      <c r="V23" s="27"/>
      <c r="W23" s="27"/>
    </row>
    <row r="24" spans="1:23" ht="15" thickBot="1" x14ac:dyDescent="0.35">
      <c r="L24" s="45" t="s">
        <v>33</v>
      </c>
      <c r="M24" s="45"/>
      <c r="N24" s="45"/>
      <c r="O24" s="45"/>
      <c r="P24" s="8" t="s">
        <v>34</v>
      </c>
      <c r="Q24" s="8"/>
      <c r="R24" s="8"/>
      <c r="S24" s="8"/>
      <c r="T24" s="8"/>
      <c r="U24" s="8"/>
      <c r="V24" s="8"/>
      <c r="W24" s="8"/>
    </row>
    <row r="25" spans="1:23" ht="15" thickBot="1" x14ac:dyDescent="0.35">
      <c r="L25" s="8" t="s">
        <v>0</v>
      </c>
      <c r="M25" s="8" t="s">
        <v>1</v>
      </c>
      <c r="N25" s="8"/>
      <c r="O25" s="8" t="s">
        <v>2</v>
      </c>
      <c r="P25" s="8"/>
      <c r="Q25" s="8"/>
      <c r="R25" s="8" t="s">
        <v>3</v>
      </c>
      <c r="S25" s="8"/>
      <c r="T25" s="8"/>
      <c r="U25" s="8" t="s">
        <v>4</v>
      </c>
      <c r="V25" s="8"/>
      <c r="W25" s="8"/>
    </row>
    <row r="26" spans="1:23" ht="15" thickBot="1" x14ac:dyDescent="0.35">
      <c r="L26" s="8"/>
      <c r="M26" s="8" t="s">
        <v>5</v>
      </c>
      <c r="N26" s="8"/>
      <c r="O26" s="9" t="s">
        <v>7</v>
      </c>
      <c r="P26" s="9" t="s">
        <v>8</v>
      </c>
      <c r="Q26" s="9" t="s">
        <v>9</v>
      </c>
      <c r="R26" s="9" t="s">
        <v>7</v>
      </c>
      <c r="S26" s="9" t="s">
        <v>8</v>
      </c>
      <c r="T26" s="9" t="s">
        <v>9</v>
      </c>
      <c r="U26" s="9" t="s">
        <v>7</v>
      </c>
      <c r="V26" s="9" t="s">
        <v>8</v>
      </c>
      <c r="W26" s="9" t="s">
        <v>10</v>
      </c>
    </row>
    <row r="27" spans="1:23" ht="15" thickBot="1" x14ac:dyDescent="0.35">
      <c r="L27" s="10">
        <v>45292</v>
      </c>
      <c r="M27" s="22" t="s">
        <v>17</v>
      </c>
      <c r="N27" s="22"/>
      <c r="O27" s="15">
        <v>2500</v>
      </c>
      <c r="P27" s="18">
        <v>5.2</v>
      </c>
      <c r="Q27" s="18">
        <f>O27*P27</f>
        <v>13000</v>
      </c>
      <c r="R27" s="11"/>
      <c r="S27" s="18"/>
      <c r="T27" s="18">
        <f>R27*S27</f>
        <v>0</v>
      </c>
      <c r="U27" s="14">
        <f>O27</f>
        <v>2500</v>
      </c>
      <c r="V27" s="14">
        <f t="shared" ref="V27:V32" si="3">W27/U27</f>
        <v>5.2</v>
      </c>
      <c r="W27" s="18">
        <f>Q27</f>
        <v>13000</v>
      </c>
    </row>
    <row r="28" spans="1:23" ht="15" thickBot="1" x14ac:dyDescent="0.35">
      <c r="L28" s="10">
        <v>45303</v>
      </c>
      <c r="M28" s="22" t="s">
        <v>13</v>
      </c>
      <c r="N28" s="22"/>
      <c r="O28" s="15">
        <v>50</v>
      </c>
      <c r="P28" s="18">
        <f>(C16*0.95)+I16/O28</f>
        <v>5.262999999999999</v>
      </c>
      <c r="Q28" s="18">
        <f>(O28*P28)+AF16</f>
        <v>263.14999999999998</v>
      </c>
      <c r="R28" s="11"/>
      <c r="S28" s="18"/>
      <c r="T28" s="18">
        <f>R28*S28</f>
        <v>0</v>
      </c>
      <c r="U28" s="14">
        <f>U27+O28</f>
        <v>2550</v>
      </c>
      <c r="V28" s="18"/>
      <c r="W28" s="18">
        <f>W27+Q28</f>
        <v>13263.15</v>
      </c>
    </row>
    <row r="29" spans="1:23" ht="15" thickBot="1" x14ac:dyDescent="0.35">
      <c r="L29" s="10">
        <v>45306</v>
      </c>
      <c r="M29" s="22" t="s">
        <v>14</v>
      </c>
      <c r="N29" s="22"/>
      <c r="O29" s="15"/>
      <c r="P29" s="18"/>
      <c r="Q29" s="18">
        <f>O29*P29</f>
        <v>0</v>
      </c>
      <c r="R29" s="11">
        <v>500</v>
      </c>
      <c r="S29" s="18">
        <f>P27</f>
        <v>5.2</v>
      </c>
      <c r="T29" s="18">
        <f>R29*S29</f>
        <v>2600</v>
      </c>
      <c r="U29" s="14">
        <f>U28-R29</f>
        <v>2050</v>
      </c>
      <c r="V29" s="18"/>
      <c r="W29" s="18">
        <f>W28-T29</f>
        <v>10663.15</v>
      </c>
    </row>
    <row r="30" spans="1:23" ht="15" thickBot="1" x14ac:dyDescent="0.35">
      <c r="L30" s="10">
        <v>45307</v>
      </c>
      <c r="M30" s="22" t="s">
        <v>13</v>
      </c>
      <c r="N30" s="22"/>
      <c r="O30" s="15">
        <v>350</v>
      </c>
      <c r="P30" s="18">
        <f>(C17*0.93)+(I17/O30)</f>
        <v>4.8854285714285721</v>
      </c>
      <c r="Q30" s="18">
        <f>(O30*P30)+AF17</f>
        <v>1709.9000000000003</v>
      </c>
      <c r="R30" s="11"/>
      <c r="S30" s="18"/>
      <c r="T30" s="18">
        <f>R30*S30</f>
        <v>0</v>
      </c>
      <c r="U30" s="14">
        <f>U29+O30</f>
        <v>2400</v>
      </c>
      <c r="V30" s="18"/>
      <c r="W30" s="18">
        <f>W29+Q30</f>
        <v>12373.05</v>
      </c>
    </row>
    <row r="31" spans="1:23" ht="15" thickBot="1" x14ac:dyDescent="0.35">
      <c r="L31" s="10">
        <v>45308</v>
      </c>
      <c r="M31" s="22" t="s">
        <v>14</v>
      </c>
      <c r="N31" s="22"/>
      <c r="O31" s="15"/>
      <c r="P31" s="18"/>
      <c r="Q31" s="18">
        <f>O31*P31</f>
        <v>0</v>
      </c>
      <c r="R31" s="11">
        <v>150</v>
      </c>
      <c r="S31" s="18">
        <f>P27</f>
        <v>5.2</v>
      </c>
      <c r="T31" s="18">
        <f>(R31*S31)+AF18</f>
        <v>780</v>
      </c>
      <c r="U31" s="14">
        <f>U30-R31</f>
        <v>2250</v>
      </c>
      <c r="V31" s="18"/>
      <c r="W31" s="18">
        <f>W30-T31</f>
        <v>11593.05</v>
      </c>
    </row>
    <row r="32" spans="1:23" ht="15" thickBot="1" x14ac:dyDescent="0.35">
      <c r="L32" s="10">
        <v>45319</v>
      </c>
      <c r="M32" s="22" t="s">
        <v>14</v>
      </c>
      <c r="N32" s="22"/>
      <c r="O32" s="15"/>
      <c r="P32" s="18"/>
      <c r="Q32" s="18">
        <f>O32*P32</f>
        <v>0</v>
      </c>
      <c r="R32" s="11">
        <v>650</v>
      </c>
      <c r="S32" s="18">
        <f>P27</f>
        <v>5.2</v>
      </c>
      <c r="T32" s="18">
        <f>R32*S32</f>
        <v>3380</v>
      </c>
      <c r="U32" s="14">
        <f>U31-R32</f>
        <v>1600</v>
      </c>
      <c r="V32" s="18"/>
      <c r="W32" s="18">
        <f>W31-T32</f>
        <v>8213.0499999999993</v>
      </c>
    </row>
  </sheetData>
  <mergeCells count="54">
    <mergeCell ref="M32:N32"/>
    <mergeCell ref="L1:N1"/>
    <mergeCell ref="M26:N26"/>
    <mergeCell ref="M27:N27"/>
    <mergeCell ref="M28:N28"/>
    <mergeCell ref="M29:N29"/>
    <mergeCell ref="M30:N30"/>
    <mergeCell ref="M31:N31"/>
    <mergeCell ref="M22:N22"/>
    <mergeCell ref="L24:O24"/>
    <mergeCell ref="P24:R24"/>
    <mergeCell ref="S24:T24"/>
    <mergeCell ref="U24:W24"/>
    <mergeCell ref="L25:L26"/>
    <mergeCell ref="M25:N25"/>
    <mergeCell ref="O25:Q25"/>
    <mergeCell ref="R25:T25"/>
    <mergeCell ref="U25:W25"/>
    <mergeCell ref="M16:N16"/>
    <mergeCell ref="M17:N17"/>
    <mergeCell ref="M18:N18"/>
    <mergeCell ref="M19:N19"/>
    <mergeCell ref="M20:N20"/>
    <mergeCell ref="M21:N21"/>
    <mergeCell ref="U13:W13"/>
    <mergeCell ref="L14:L15"/>
    <mergeCell ref="M14:N14"/>
    <mergeCell ref="O14:Q14"/>
    <mergeCell ref="R14:T14"/>
    <mergeCell ref="U14:W14"/>
    <mergeCell ref="M15:N15"/>
    <mergeCell ref="M9:N9"/>
    <mergeCell ref="M10:N10"/>
    <mergeCell ref="M11:N11"/>
    <mergeCell ref="L13:O13"/>
    <mergeCell ref="P13:R13"/>
    <mergeCell ref="S13:T13"/>
    <mergeCell ref="U2:W2"/>
    <mergeCell ref="L3:L4"/>
    <mergeCell ref="M3:N3"/>
    <mergeCell ref="O3:Q3"/>
    <mergeCell ref="R3:T3"/>
    <mergeCell ref="U3:W3"/>
    <mergeCell ref="M4:N4"/>
    <mergeCell ref="A2:J2"/>
    <mergeCell ref="A8:J8"/>
    <mergeCell ref="A14:J14"/>
    <mergeCell ref="L2:O2"/>
    <mergeCell ref="P2:R2"/>
    <mergeCell ref="S2:T2"/>
    <mergeCell ref="M5:N5"/>
    <mergeCell ref="M6:N6"/>
    <mergeCell ref="M7:N7"/>
    <mergeCell ref="M8:N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tabSelected="1" workbookViewId="0">
      <selection activeCell="C5" sqref="C5"/>
    </sheetView>
  </sheetViews>
  <sheetFormatPr baseColWidth="10" defaultRowHeight="14.4" x14ac:dyDescent="0.3"/>
  <cols>
    <col min="3" max="3" width="25.33203125" bestFit="1" customWidth="1"/>
  </cols>
  <sheetData>
    <row r="2" spans="3:3" x14ac:dyDescent="0.3">
      <c r="C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C1"/>
    </sheetView>
  </sheetViews>
  <sheetFormatPr baseColWidth="10" defaultRowHeight="14.4" x14ac:dyDescent="0.3"/>
  <cols>
    <col min="2" max="2" width="14.21875" bestFit="1" customWidth="1"/>
    <col min="3" max="3" width="12.77734375" bestFit="1" customWidth="1"/>
    <col min="7" max="7" width="25.6640625" bestFit="1" customWidth="1"/>
    <col min="8" max="8" width="12.77734375" bestFit="1" customWidth="1"/>
  </cols>
  <sheetData>
    <row r="1" spans="1:10" x14ac:dyDescent="0.3">
      <c r="A1" s="6" t="s">
        <v>61</v>
      </c>
      <c r="B1" s="6"/>
      <c r="C1" s="6"/>
    </row>
    <row r="5" spans="1:10" ht="15" thickBot="1" x14ac:dyDescent="0.35"/>
    <row r="6" spans="1:10" ht="15" thickBot="1" x14ac:dyDescent="0.35">
      <c r="B6" s="39" t="s">
        <v>38</v>
      </c>
      <c r="C6" s="39"/>
      <c r="D6" s="39"/>
      <c r="E6" s="39"/>
      <c r="F6" s="39"/>
      <c r="G6" s="39"/>
      <c r="H6" s="39"/>
      <c r="I6" s="39"/>
      <c r="J6" s="39"/>
    </row>
    <row r="7" spans="1:10" ht="15" thickBot="1" x14ac:dyDescent="0.35">
      <c r="B7" s="39" t="s">
        <v>39</v>
      </c>
      <c r="C7" s="39"/>
      <c r="D7" s="39"/>
      <c r="E7" s="39"/>
      <c r="F7" s="39" t="s">
        <v>48</v>
      </c>
      <c r="G7" s="39"/>
      <c r="H7" s="39"/>
      <c r="I7" s="39" t="s">
        <v>47</v>
      </c>
      <c r="J7" s="39"/>
    </row>
    <row r="8" spans="1:10" ht="15" thickBot="1" x14ac:dyDescent="0.35">
      <c r="B8" s="41" t="s">
        <v>23</v>
      </c>
      <c r="C8" s="41" t="s">
        <v>45</v>
      </c>
      <c r="D8" s="41" t="s">
        <v>46</v>
      </c>
      <c r="E8" s="41" t="s">
        <v>47</v>
      </c>
      <c r="F8" s="22">
        <v>43254.9</v>
      </c>
      <c r="G8" s="22"/>
      <c r="H8" s="22"/>
      <c r="I8" s="36">
        <f>E9+E10+E11+E12+E13+F8</f>
        <v>251398.9</v>
      </c>
      <c r="J8" s="22"/>
    </row>
    <row r="9" spans="1:10" ht="15" thickBot="1" x14ac:dyDescent="0.35">
      <c r="B9" s="34" t="s">
        <v>40</v>
      </c>
      <c r="C9" s="34">
        <v>200</v>
      </c>
      <c r="D9" s="35">
        <v>32.5</v>
      </c>
      <c r="E9" s="35">
        <f>D9*C9</f>
        <v>6500</v>
      </c>
      <c r="F9" s="22"/>
      <c r="G9" s="22"/>
      <c r="H9" s="22"/>
      <c r="I9" s="22"/>
      <c r="J9" s="22"/>
    </row>
    <row r="10" spans="1:10" ht="15" thickBot="1" x14ac:dyDescent="0.35">
      <c r="B10" s="34" t="s">
        <v>41</v>
      </c>
      <c r="C10" s="34">
        <v>600</v>
      </c>
      <c r="D10" s="35">
        <v>25.6</v>
      </c>
      <c r="E10" s="35">
        <f t="shared" ref="E10:E13" si="0">D10*C10</f>
        <v>15360</v>
      </c>
      <c r="F10" s="22"/>
      <c r="G10" s="22"/>
      <c r="H10" s="22"/>
      <c r="I10" s="22"/>
      <c r="J10" s="22"/>
    </row>
    <row r="11" spans="1:10" ht="15" thickBot="1" x14ac:dyDescent="0.35">
      <c r="B11" s="34" t="s">
        <v>42</v>
      </c>
      <c r="C11" s="34">
        <v>1400</v>
      </c>
      <c r="D11" s="35">
        <v>63.3</v>
      </c>
      <c r="E11" s="35">
        <f t="shared" si="0"/>
        <v>88620</v>
      </c>
      <c r="F11" s="22"/>
      <c r="G11" s="22"/>
      <c r="H11" s="22"/>
      <c r="I11" s="22"/>
      <c r="J11" s="22"/>
    </row>
    <row r="12" spans="1:10" ht="15" thickBot="1" x14ac:dyDescent="0.35">
      <c r="B12" s="34" t="s">
        <v>43</v>
      </c>
      <c r="C12" s="34">
        <v>900</v>
      </c>
      <c r="D12" s="35">
        <v>73.3</v>
      </c>
      <c r="E12" s="35">
        <f t="shared" si="0"/>
        <v>65970</v>
      </c>
      <c r="F12" s="22"/>
      <c r="G12" s="22"/>
      <c r="H12" s="22"/>
      <c r="I12" s="22"/>
      <c r="J12" s="22"/>
    </row>
    <row r="13" spans="1:10" ht="15" thickBot="1" x14ac:dyDescent="0.35">
      <c r="B13" s="34" t="s">
        <v>44</v>
      </c>
      <c r="C13" s="34">
        <v>2990</v>
      </c>
      <c r="D13" s="35">
        <v>10.6</v>
      </c>
      <c r="E13" s="35">
        <f t="shared" si="0"/>
        <v>31694</v>
      </c>
      <c r="F13" s="22"/>
      <c r="G13" s="22"/>
      <c r="H13" s="22"/>
      <c r="I13" s="22"/>
      <c r="J13" s="22"/>
    </row>
    <row r="14" spans="1:10" ht="15" thickBot="1" x14ac:dyDescent="0.35"/>
    <row r="15" spans="1:10" ht="15" thickBot="1" x14ac:dyDescent="0.35">
      <c r="G15" s="39" t="s">
        <v>52</v>
      </c>
      <c r="H15" s="39"/>
    </row>
    <row r="16" spans="1:10" ht="15" thickBot="1" x14ac:dyDescent="0.35">
      <c r="B16" s="40" t="s">
        <v>36</v>
      </c>
      <c r="C16" s="11">
        <v>40.9</v>
      </c>
      <c r="D16" s="40" t="s">
        <v>50</v>
      </c>
      <c r="E16" s="35">
        <v>75623.7</v>
      </c>
      <c r="G16" s="40" t="s">
        <v>53</v>
      </c>
      <c r="H16" s="35">
        <f>I8</f>
        <v>251398.9</v>
      </c>
    </row>
    <row r="17" spans="2:8" ht="15" thickBot="1" x14ac:dyDescent="0.35">
      <c r="B17" s="40" t="s">
        <v>37</v>
      </c>
      <c r="C17" s="11">
        <v>10000</v>
      </c>
      <c r="D17" s="11"/>
      <c r="E17" s="11"/>
      <c r="G17" s="40" t="s">
        <v>54</v>
      </c>
      <c r="H17" s="11">
        <v>7500</v>
      </c>
    </row>
    <row r="18" spans="2:8" ht="15" thickBot="1" x14ac:dyDescent="0.35">
      <c r="G18" s="40" t="s">
        <v>46</v>
      </c>
      <c r="H18" s="35">
        <f>H16/H17</f>
        <v>33.51985333333333</v>
      </c>
    </row>
    <row r="19" spans="2:8" ht="15" thickBot="1" x14ac:dyDescent="0.35">
      <c r="B19" s="40" t="s">
        <v>12</v>
      </c>
      <c r="C19" s="38">
        <f>C16*C17</f>
        <v>409000</v>
      </c>
      <c r="G19" s="40" t="s">
        <v>55</v>
      </c>
      <c r="H19" s="37">
        <f>(C16-H18)/C16</f>
        <v>0.18044368378158115</v>
      </c>
    </row>
    <row r="20" spans="2:8" ht="15" thickBot="1" x14ac:dyDescent="0.35">
      <c r="B20" s="40" t="s">
        <v>38</v>
      </c>
      <c r="C20" s="35">
        <f>I8</f>
        <v>251398.9</v>
      </c>
    </row>
    <row r="21" spans="2:8" ht="15" thickBot="1" x14ac:dyDescent="0.35">
      <c r="B21" s="40" t="s">
        <v>49</v>
      </c>
      <c r="C21" s="38">
        <f>C19-C20</f>
        <v>157601.1</v>
      </c>
      <c r="G21" s="40" t="s">
        <v>56</v>
      </c>
      <c r="H21" s="35">
        <f>E16/H19</f>
        <v>419098.62631456269</v>
      </c>
    </row>
    <row r="22" spans="2:8" ht="15" thickBot="1" x14ac:dyDescent="0.35">
      <c r="B22" s="40" t="s">
        <v>50</v>
      </c>
      <c r="C22" s="35">
        <f>E16</f>
        <v>75623.7</v>
      </c>
    </row>
    <row r="23" spans="2:8" ht="15" thickBot="1" x14ac:dyDescent="0.35">
      <c r="B23" s="40" t="s">
        <v>51</v>
      </c>
      <c r="C23" s="38">
        <f>C21-C22</f>
        <v>81977.400000000009</v>
      </c>
    </row>
  </sheetData>
  <mergeCells count="8">
    <mergeCell ref="I7:J7"/>
    <mergeCell ref="F8:H13"/>
    <mergeCell ref="I8:J13"/>
    <mergeCell ref="B6:J6"/>
    <mergeCell ref="G15:H15"/>
    <mergeCell ref="A1:C1"/>
    <mergeCell ref="B7:E7"/>
    <mergeCell ref="F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Comercializadora Tropical</vt:lpstr>
      <vt:lpstr>Empresa DIAL</vt:lpstr>
      <vt:lpstr>Ejercicio 3</vt:lpstr>
      <vt:lpstr>Ejercicio 4</vt:lpstr>
      <vt:lpstr>Ejercicio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GABRIEL SOLORZANO</dc:creator>
  <cp:lastModifiedBy>CARLOS GABRIEL SOLORZANO</cp:lastModifiedBy>
  <dcterms:created xsi:type="dcterms:W3CDTF">2024-03-10T17:46:57Z</dcterms:created>
  <dcterms:modified xsi:type="dcterms:W3CDTF">2024-03-15T04:13:01Z</dcterms:modified>
</cp:coreProperties>
</file>