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joanarivera/Downloads/"/>
    </mc:Choice>
  </mc:AlternateContent>
  <xr:revisionPtr revIDLastSave="0" documentId="8_{7D1737E4-A2DC-7541-A630-083B5F529BF4}" xr6:coauthVersionLast="47" xr6:coauthVersionMax="47" xr10:uidLastSave="{00000000-0000-0000-0000-000000000000}"/>
  <bookViews>
    <workbookView xWindow="1180" yWindow="1500" windowWidth="27240" windowHeight="15120" activeTab="4" xr2:uid="{237EFDAD-6DA2-5841-8A4E-6FC1C0C38AB9}"/>
  </bookViews>
  <sheets>
    <sheet name="Problema 1" sheetId="1" r:id="rId1"/>
    <sheet name="Problema 2" sheetId="2" r:id="rId2"/>
    <sheet name="Problema 3" sheetId="3" r:id="rId3"/>
    <sheet name="Problrma 4" sheetId="4" r:id="rId4"/>
    <sheet name="Problema 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0" i="5" l="1"/>
  <c r="G35" i="5"/>
  <c r="G31" i="5"/>
  <c r="I40" i="5" s="1"/>
  <c r="H21" i="5"/>
  <c r="H20" i="5"/>
  <c r="H19" i="5"/>
  <c r="H18" i="5"/>
  <c r="H17" i="5"/>
  <c r="I49" i="4"/>
  <c r="I47" i="4"/>
  <c r="I46" i="4"/>
  <c r="I45" i="4"/>
  <c r="I38" i="4"/>
  <c r="I39" i="4"/>
  <c r="I41" i="4"/>
  <c r="I37" i="4"/>
  <c r="G33" i="4"/>
  <c r="G34" i="4" s="1"/>
  <c r="G48" i="4" s="1"/>
  <c r="I48" i="4" s="1"/>
  <c r="I30" i="4"/>
  <c r="I29" i="4"/>
  <c r="H28" i="4"/>
  <c r="K28" i="4" s="1"/>
  <c r="H30" i="4"/>
  <c r="H29" i="4"/>
  <c r="M18" i="4"/>
  <c r="M17" i="4"/>
  <c r="M16" i="4"/>
  <c r="M15" i="4"/>
  <c r="M14" i="4"/>
  <c r="M12" i="4"/>
  <c r="M10" i="4"/>
  <c r="F44" i="3"/>
  <c r="L49" i="3"/>
  <c r="F28" i="3"/>
  <c r="L34" i="3"/>
  <c r="L18" i="3"/>
  <c r="T46" i="3"/>
  <c r="L48" i="3"/>
  <c r="S46" i="3" s="1"/>
  <c r="N33" i="3"/>
  <c r="N34" i="3" s="1"/>
  <c r="L33" i="3"/>
  <c r="T14" i="3"/>
  <c r="L17" i="3"/>
  <c r="S14" i="3" s="1"/>
  <c r="W44" i="3"/>
  <c r="V44" i="3"/>
  <c r="U44" i="3"/>
  <c r="W28" i="3"/>
  <c r="V28" i="3"/>
  <c r="U28" i="3"/>
  <c r="W12" i="3"/>
  <c r="V12" i="3"/>
  <c r="U12" i="3"/>
  <c r="H47" i="3"/>
  <c r="H32" i="3"/>
  <c r="S28" i="3" s="1"/>
  <c r="H16" i="3"/>
  <c r="T12" i="3" s="1"/>
  <c r="L46" i="3"/>
  <c r="L31" i="3"/>
  <c r="L15" i="3"/>
  <c r="W43" i="3"/>
  <c r="V43" i="3"/>
  <c r="U43" i="3"/>
  <c r="H30" i="3"/>
  <c r="W27" i="3"/>
  <c r="V27" i="3"/>
  <c r="U27" i="3"/>
  <c r="H14" i="3"/>
  <c r="W11" i="3"/>
  <c r="V11" i="3"/>
  <c r="U11" i="3"/>
  <c r="N45" i="3"/>
  <c r="N46" i="3" s="1"/>
  <c r="N47" i="3" s="1"/>
  <c r="N48" i="3" s="1"/>
  <c r="N49" i="3" s="1"/>
  <c r="H45" i="3"/>
  <c r="S43" i="3" s="1"/>
  <c r="X43" i="3" s="1"/>
  <c r="N29" i="3"/>
  <c r="N30" i="3" s="1"/>
  <c r="N31" i="3" s="1"/>
  <c r="N32" i="3" s="1"/>
  <c r="L29" i="3"/>
  <c r="P29" i="3" s="1"/>
  <c r="N13" i="3"/>
  <c r="N14" i="3" s="1"/>
  <c r="N15" i="3" s="1"/>
  <c r="N16" i="3" s="1"/>
  <c r="N17" i="3" s="1"/>
  <c r="N18" i="3" s="1"/>
  <c r="L13" i="3"/>
  <c r="P13" i="3" s="1"/>
  <c r="H44" i="3"/>
  <c r="H28" i="3"/>
  <c r="H12" i="3"/>
  <c r="D31" i="2"/>
  <c r="J25" i="2"/>
  <c r="I25" i="2"/>
  <c r="K25" i="2" s="1"/>
  <c r="K26" i="2" s="1"/>
  <c r="E25" i="2"/>
  <c r="D25" i="2"/>
  <c r="F25" i="2" s="1"/>
  <c r="K23" i="2"/>
  <c r="F23" i="2"/>
  <c r="F26" i="2" s="1"/>
  <c r="H18" i="2"/>
  <c r="K17" i="2"/>
  <c r="K16" i="2"/>
  <c r="H15" i="2"/>
  <c r="H14" i="2"/>
  <c r="K13" i="2"/>
  <c r="L12" i="2"/>
  <c r="L13" i="2" s="1"/>
  <c r="L14" i="2" s="1"/>
  <c r="L15" i="2" s="1"/>
  <c r="L16" i="2" s="1"/>
  <c r="L17" i="2" s="1"/>
  <c r="L18" i="2" s="1"/>
  <c r="H12" i="2"/>
  <c r="N12" i="2" s="1"/>
  <c r="H11" i="2"/>
  <c r="K18" i="1"/>
  <c r="K17" i="1"/>
  <c r="H16" i="1"/>
  <c r="H15" i="1"/>
  <c r="K14" i="1"/>
  <c r="K13" i="1"/>
  <c r="K12" i="1"/>
  <c r="L11" i="1"/>
  <c r="L12" i="1" s="1"/>
  <c r="L13" i="1" s="1"/>
  <c r="L14" i="1" s="1"/>
  <c r="L15" i="1" s="1"/>
  <c r="L16" i="1" s="1"/>
  <c r="L17" i="1" s="1"/>
  <c r="L18" i="1" s="1"/>
  <c r="H11" i="1"/>
  <c r="N11" i="1" s="1"/>
  <c r="M11" i="1" s="1"/>
  <c r="H10" i="1"/>
  <c r="T28" i="3" l="1"/>
  <c r="X28" i="3" s="1"/>
  <c r="I32" i="3" s="1"/>
  <c r="M17" i="3"/>
  <c r="S30" i="3"/>
  <c r="M33" i="3" s="1"/>
  <c r="M48" i="3"/>
  <c r="T30" i="3"/>
  <c r="N12" i="1"/>
  <c r="N13" i="2"/>
  <c r="N14" i="2" s="1"/>
  <c r="N15" i="2" s="1"/>
  <c r="N16" i="2" s="1"/>
  <c r="N17" i="2" s="1"/>
  <c r="N18" i="2" s="1"/>
  <c r="S12" i="3"/>
  <c r="X12" i="3" s="1"/>
  <c r="H22" i="5"/>
  <c r="G34" i="5" s="1"/>
  <c r="G36" i="5" s="1"/>
  <c r="G39" i="5" s="1"/>
  <c r="K29" i="4"/>
  <c r="L35" i="4" s="1"/>
  <c r="L36" i="4" s="1"/>
  <c r="G40" i="4"/>
  <c r="I40" i="4" s="1"/>
  <c r="I42" i="4" s="1"/>
  <c r="J29" i="4" s="1"/>
  <c r="I50" i="4"/>
  <c r="J30" i="4" s="1"/>
  <c r="K30" i="4"/>
  <c r="M19" i="4"/>
  <c r="O18" i="4"/>
  <c r="O19" i="4" s="1"/>
  <c r="S27" i="3"/>
  <c r="X27" i="3" s="1"/>
  <c r="I30" i="3" s="1"/>
  <c r="P30" i="3" s="1"/>
  <c r="P31" i="3" s="1"/>
  <c r="I45" i="3"/>
  <c r="P45" i="3" s="1"/>
  <c r="S44" i="3"/>
  <c r="X44" i="3" s="1"/>
  <c r="I47" i="3" s="1"/>
  <c r="I16" i="3"/>
  <c r="T44" i="3"/>
  <c r="G41" i="5" l="1"/>
  <c r="I39" i="5"/>
  <c r="I41" i="5" s="1"/>
  <c r="G45" i="5" s="1"/>
  <c r="G46" i="5" s="1"/>
  <c r="P32" i="3"/>
  <c r="P33" i="3" s="1"/>
  <c r="P34" i="3" s="1"/>
  <c r="N13" i="1"/>
  <c r="M12" i="1"/>
  <c r="K31" i="4"/>
  <c r="L41" i="4" s="1"/>
  <c r="L42" i="4" s="1"/>
  <c r="O45" i="3"/>
  <c r="P46" i="3"/>
  <c r="P47" i="3" s="1"/>
  <c r="P48" i="3" s="1"/>
  <c r="P49" i="3" s="1"/>
  <c r="N14" i="1" l="1"/>
  <c r="N15" i="1" s="1"/>
  <c r="M13" i="1"/>
  <c r="S11" i="3"/>
  <c r="X11" i="3" s="1"/>
  <c r="I14" i="3" s="1"/>
  <c r="P14" i="3" s="1"/>
  <c r="N16" i="1" l="1"/>
  <c r="M15" i="1"/>
  <c r="P15" i="3"/>
  <c r="O14" i="3"/>
  <c r="N17" i="1" l="1"/>
  <c r="M16" i="1"/>
  <c r="P16" i="3"/>
  <c r="O15" i="3"/>
  <c r="O16" i="3" l="1"/>
  <c r="P17" i="3"/>
  <c r="N18" i="1"/>
  <c r="M18" i="1" s="1"/>
  <c r="M17" i="1"/>
  <c r="O17" i="3" l="1"/>
  <c r="P18" i="3"/>
</calcChain>
</file>

<file path=xl/sharedStrings.xml><?xml version="1.0" encoding="utf-8"?>
<sst xmlns="http://schemas.openxmlformats.org/spreadsheetml/2006/main" count="267" uniqueCount="109">
  <si>
    <t>EJERCICIO NÚM. 1</t>
  </si>
  <si>
    <t>FECHA</t>
  </si>
  <si>
    <t>DETALLE</t>
  </si>
  <si>
    <t>ENTRADAS</t>
  </si>
  <si>
    <t>SALIDAS</t>
  </si>
  <si>
    <t>SALDOS</t>
  </si>
  <si>
    <t>CONCEPTO</t>
  </si>
  <si>
    <t>NO. FACTURA</t>
  </si>
  <si>
    <t>CANTIDAD</t>
  </si>
  <si>
    <t>DISPONIBLE</t>
  </si>
  <si>
    <t>VALOR UNITARIO</t>
  </si>
  <si>
    <t>VALOR TOTAL</t>
  </si>
  <si>
    <t>TOTAL</t>
  </si>
  <si>
    <t xml:space="preserve">Existencia Anterior </t>
  </si>
  <si>
    <t xml:space="preserve">Compra a Perfil, S.A. Albaran </t>
  </si>
  <si>
    <t xml:space="preserve">Venta a Pradilos, S.L. Albarán </t>
  </si>
  <si>
    <t xml:space="preserve">Venta a Gómez, S.A. Albarán </t>
  </si>
  <si>
    <t xml:space="preserve">Venta a Peña, S.L. Albarán </t>
  </si>
  <si>
    <t xml:space="preserve">Devolución de mercaderias de Peña, S.L. </t>
  </si>
  <si>
    <t xml:space="preserve">Compra a Muñoz, S.A. Albaran </t>
  </si>
  <si>
    <t xml:space="preserve">Venta a M. Pardo. Alberán </t>
  </si>
  <si>
    <t xml:space="preserve">Venta a A. Menéndez S.L. Albarán </t>
  </si>
  <si>
    <t>EJERCICIO NÚM. 2</t>
  </si>
  <si>
    <t>Existencias Iniciales</t>
  </si>
  <si>
    <t xml:space="preserve">Compra </t>
  </si>
  <si>
    <t>Se venden a ultramarinos Marinez</t>
  </si>
  <si>
    <t>Compra</t>
  </si>
  <si>
    <t>Venta a Alimentaria, S.A.</t>
  </si>
  <si>
    <t xml:space="preserve">Venta al minorista Sr. Angel Cortina </t>
  </si>
  <si>
    <t>P.M.P de Venta a Martinez</t>
  </si>
  <si>
    <t>P.M.P de Venta a S.A</t>
  </si>
  <si>
    <t>Unidades</t>
  </si>
  <si>
    <t>Valor Unitario</t>
  </si>
  <si>
    <t>Inventario Final queda:</t>
  </si>
  <si>
    <t>Saldo:</t>
  </si>
  <si>
    <t>Existencia :</t>
  </si>
  <si>
    <t>EJERCICIO NÚM. 4</t>
  </si>
  <si>
    <t>ARTICULO A</t>
  </si>
  <si>
    <t>ARTICULO B</t>
  </si>
  <si>
    <t>ARTICULO C</t>
  </si>
  <si>
    <t>Precio Medio Ponderado</t>
  </si>
  <si>
    <t>F.I.F.O</t>
  </si>
  <si>
    <t xml:space="preserve">Existencias Iniciales </t>
  </si>
  <si>
    <t>Existencias  Iniciales</t>
  </si>
  <si>
    <t xml:space="preserve">Venta </t>
  </si>
  <si>
    <t>Venta</t>
  </si>
  <si>
    <t>Compraron</t>
  </si>
  <si>
    <t>Gastos Adicionales  Articulo A</t>
  </si>
  <si>
    <t>DESCUENTOS</t>
  </si>
  <si>
    <t>IVA</t>
  </si>
  <si>
    <t>PORTES</t>
  </si>
  <si>
    <t>SEGUROS</t>
  </si>
  <si>
    <t>EMBALAJES</t>
  </si>
  <si>
    <t>COSTO</t>
  </si>
  <si>
    <t>GASTOS</t>
  </si>
  <si>
    <t xml:space="preserve"> VALOR CON G</t>
  </si>
  <si>
    <t>Descuentos y IVA</t>
  </si>
  <si>
    <t>OTRO</t>
  </si>
  <si>
    <t>0TRO</t>
  </si>
  <si>
    <t>EJERCICIO NÚM. 5</t>
  </si>
  <si>
    <t>EJERCICIO NÚM. 3</t>
  </si>
  <si>
    <r>
      <rPr>
        <sz val="14"/>
        <color theme="1"/>
        <rFont val="Arial"/>
        <family val="2"/>
      </rPr>
      <t>GASTOS</t>
    </r>
    <r>
      <rPr>
        <sz val="12"/>
        <color theme="1"/>
        <rFont val="Calibri"/>
        <family val="2"/>
        <scheme val="minor"/>
      </rPr>
      <t xml:space="preserve"> </t>
    </r>
  </si>
  <si>
    <t>IMPORTE</t>
  </si>
  <si>
    <t>Compras de mteriales primas</t>
  </si>
  <si>
    <t>5.000 uds A  0.30 €/ud.</t>
  </si>
  <si>
    <t xml:space="preserve">Mano de obra  </t>
  </si>
  <si>
    <t>901.50 € ( Mano de obra directa 600 €, Mano de obra indirecta 301.50€)</t>
  </si>
  <si>
    <t xml:space="preserve">Amortizaciones </t>
  </si>
  <si>
    <t>Reparacione s</t>
  </si>
  <si>
    <t xml:space="preserve">Seguros </t>
  </si>
  <si>
    <t xml:space="preserve">Compras de consumibles </t>
  </si>
  <si>
    <t xml:space="preserve">Suministros </t>
  </si>
  <si>
    <t>UNIDADES</t>
  </si>
  <si>
    <t>COSTO UNITARIO</t>
  </si>
  <si>
    <t xml:space="preserve">DIRECTA </t>
  </si>
  <si>
    <t>INDIRECTA</t>
  </si>
  <si>
    <t>TOTAL=</t>
  </si>
  <si>
    <t>Reparaciones</t>
  </si>
  <si>
    <t>COSTO DE PRODUCCIÓN TOTAL</t>
  </si>
  <si>
    <t>MATERIA PRIMA</t>
  </si>
  <si>
    <t>Total</t>
  </si>
  <si>
    <t>GASTOS FIJOS (75%)</t>
  </si>
  <si>
    <t xml:space="preserve">MANO DE OBRA </t>
  </si>
  <si>
    <t>Aumento 1</t>
  </si>
  <si>
    <t>Aumento 2</t>
  </si>
  <si>
    <t>CONSUMIBLES AUMENTO</t>
  </si>
  <si>
    <t>INICIO</t>
  </si>
  <si>
    <t>FINAL</t>
  </si>
  <si>
    <t>Inventario existente</t>
  </si>
  <si>
    <t>Calcula: El precio de venta si la empresa desea que el umbral de rentabilidad se obtenga a partir del 75% de su producción y determina el umbral de rentabilidad si la empresa establece el precio de venta de 40.90</t>
  </si>
  <si>
    <t>Materia prima</t>
  </si>
  <si>
    <t>Tipo</t>
  </si>
  <si>
    <t>Costo</t>
  </si>
  <si>
    <t>X</t>
  </si>
  <si>
    <t>C</t>
  </si>
  <si>
    <t>B</t>
  </si>
  <si>
    <t>G</t>
  </si>
  <si>
    <t>F</t>
  </si>
  <si>
    <t>Mano de Obra Directa</t>
  </si>
  <si>
    <t>Gasto</t>
  </si>
  <si>
    <t>Costos Fijos</t>
  </si>
  <si>
    <t xml:space="preserve">Costos </t>
  </si>
  <si>
    <t xml:space="preserve">Producción </t>
  </si>
  <si>
    <t>Costo de venta total</t>
  </si>
  <si>
    <t>MOD</t>
  </si>
  <si>
    <t>MAT</t>
  </si>
  <si>
    <t>Costo de venta unitario</t>
  </si>
  <si>
    <t>Rentabilidad</t>
  </si>
  <si>
    <t>Precio de vetan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</si>
</sst>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 [$€-1];[Red]\-#,##0.00\ [$€-1]"/>
  </numFmts>
  <fonts count="18" x14ac:knownFonts="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rgb="FFFF0000"/>
      <name val="Calibri"/>
      <family val="2"/>
      <scheme val="minor"/>
    </font>
    <font>
      <sz val="11"/>
      <color theme="1"/>
      <name val="Calibri"/>
      <family val="2"/>
      <scheme val="minor"/>
    </font>
    <font>
      <sz val="24"/>
      <color theme="1"/>
      <name val="Arial"/>
      <family val="2"/>
    </font>
    <font>
      <sz val="16"/>
      <color theme="1"/>
      <name val="Calibri"/>
      <family val="2"/>
      <scheme val="minor"/>
    </font>
    <font>
      <sz val="16"/>
      <color theme="1"/>
      <name val="Arial"/>
      <family val="2"/>
    </font>
    <font>
      <sz val="12"/>
      <color theme="1"/>
      <name val="Arial"/>
      <family val="2"/>
    </font>
    <font>
      <b/>
      <sz val="12"/>
      <color theme="1"/>
      <name val="Arial"/>
      <family val="2"/>
    </font>
    <font>
      <b/>
      <sz val="12"/>
      <color rgb="FF000000"/>
      <name val="Arial"/>
      <family val="2"/>
    </font>
    <font>
      <sz val="12"/>
      <color rgb="FF000000"/>
      <name val="Calibri"/>
      <family val="2"/>
      <scheme val="minor"/>
    </font>
    <font>
      <sz val="11"/>
      <color rgb="FF000000"/>
      <name val="Calibri"/>
      <family val="2"/>
      <scheme val="minor"/>
    </font>
    <font>
      <sz val="14"/>
      <color theme="1"/>
      <name val="Arial"/>
      <family val="2"/>
    </font>
    <font>
      <b/>
      <sz val="11"/>
      <color theme="1"/>
      <name val="Calibri"/>
      <family val="2"/>
      <scheme val="minor"/>
    </font>
    <font>
      <b/>
      <sz val="12"/>
      <color theme="1"/>
      <name val="Calibri (Cuerpo)"/>
    </font>
    <font>
      <b/>
      <sz val="16"/>
      <color theme="1"/>
      <name val="Arial"/>
      <family val="2"/>
    </font>
  </fonts>
  <fills count="23">
    <fill>
      <patternFill patternType="none"/>
    </fill>
    <fill>
      <patternFill patternType="gray125"/>
    </fill>
    <fill>
      <patternFill patternType="solid">
        <fgColor theme="2"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D9E1F2"/>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78AAD6"/>
        <bgColor indexed="64"/>
      </patternFill>
    </fill>
    <fill>
      <patternFill patternType="solid">
        <fgColor rgb="FF3DAAD6"/>
        <bgColor indexed="64"/>
      </patternFill>
    </fill>
    <fill>
      <patternFill patternType="solid">
        <fgColor rgb="FF004479"/>
        <bgColor rgb="FF000000"/>
      </patternFill>
    </fill>
    <fill>
      <patternFill patternType="solid">
        <fgColor rgb="FF004479"/>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14" fontId="0" fillId="3" borderId="1" xfId="0" applyNumberFormat="1" applyFill="1" applyBorder="1"/>
    <xf numFmtId="0" fontId="0" fillId="3" borderId="1" xfId="0" applyFill="1" applyBorder="1"/>
    <xf numFmtId="0" fontId="0" fillId="4" borderId="1" xfId="0" applyFill="1" applyBorder="1"/>
    <xf numFmtId="0" fontId="4" fillId="4" borderId="1" xfId="0" applyFont="1" applyFill="1" applyBorder="1"/>
    <xf numFmtId="164" fontId="0" fillId="4" borderId="1" xfId="2" applyNumberFormat="1" applyFont="1" applyFill="1" applyBorder="1" applyAlignment="1">
      <alignment horizontal="right" vertical="top"/>
    </xf>
    <xf numFmtId="164" fontId="0" fillId="4" borderId="1" xfId="0" applyNumberFormat="1" applyFill="1" applyBorder="1"/>
    <xf numFmtId="0" fontId="0" fillId="5" borderId="1" xfId="0" applyFill="1" applyBorder="1"/>
    <xf numFmtId="164" fontId="0" fillId="5" borderId="1" xfId="0" applyNumberFormat="1" applyFill="1" applyBorder="1"/>
    <xf numFmtId="44" fontId="0" fillId="5" borderId="1" xfId="0" applyNumberFormat="1" applyFill="1" applyBorder="1"/>
    <xf numFmtId="0" fontId="0" fillId="6" borderId="1" xfId="0" applyFill="1" applyBorder="1"/>
    <xf numFmtId="164" fontId="0" fillId="6" borderId="1" xfId="0" applyNumberFormat="1" applyFill="1" applyBorder="1"/>
    <xf numFmtId="164" fontId="0" fillId="5" borderId="1" xfId="2" applyNumberFormat="1" applyFont="1" applyFill="1" applyBorder="1" applyAlignment="1">
      <alignment horizontal="right" vertical="top"/>
    </xf>
    <xf numFmtId="0" fontId="0" fillId="7" borderId="1" xfId="0" applyFill="1" applyBorder="1"/>
    <xf numFmtId="164" fontId="0" fillId="7" borderId="1" xfId="2" applyNumberFormat="1" applyFont="1" applyFill="1" applyBorder="1" applyAlignment="1">
      <alignment horizontal="right" vertical="top"/>
    </xf>
    <xf numFmtId="44" fontId="0" fillId="7" borderId="1" xfId="0" applyNumberFormat="1" applyFill="1" applyBorder="1"/>
    <xf numFmtId="164" fontId="4" fillId="5" borderId="1" xfId="2" applyNumberFormat="1" applyFont="1" applyFill="1" applyBorder="1" applyAlignment="1">
      <alignment horizontal="right" vertical="top"/>
    </xf>
    <xf numFmtId="44" fontId="4" fillId="5" borderId="1" xfId="0" applyNumberFormat="1" applyFont="1" applyFill="1" applyBorder="1"/>
    <xf numFmtId="164" fontId="0" fillId="7" borderId="1" xfId="0" applyNumberFormat="1" applyFill="1" applyBorder="1"/>
    <xf numFmtId="164" fontId="0" fillId="4" borderId="1" xfId="2" applyNumberFormat="1" applyFont="1" applyFill="1" applyBorder="1" applyAlignment="1">
      <alignment vertical="top"/>
    </xf>
    <xf numFmtId="0" fontId="0" fillId="0" borderId="0" xfId="0" applyAlignment="1">
      <alignment horizontal="center"/>
    </xf>
    <xf numFmtId="2" fontId="0" fillId="0" borderId="0" xfId="0" applyNumberFormat="1"/>
    <xf numFmtId="164" fontId="0" fillId="0" borderId="0" xfId="0" applyNumberFormat="1"/>
    <xf numFmtId="0" fontId="0" fillId="0" borderId="0" xfId="0" applyAlignment="1">
      <alignment horizontal="right"/>
    </xf>
    <xf numFmtId="164" fontId="0" fillId="7" borderId="0" xfId="0" applyNumberFormat="1" applyFill="1"/>
    <xf numFmtId="0" fontId="7" fillId="0" borderId="0" xfId="0" applyFont="1" applyAlignment="1">
      <alignment horizontal="center"/>
    </xf>
    <xf numFmtId="164" fontId="8" fillId="0" borderId="0" xfId="0" applyNumberFormat="1" applyFont="1"/>
    <xf numFmtId="2" fontId="8" fillId="0" borderId="0" xfId="0" applyNumberFormat="1" applyFont="1"/>
    <xf numFmtId="0" fontId="8" fillId="7" borderId="1" xfId="0"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0" fontId="3" fillId="0" borderId="0" xfId="0" applyFont="1"/>
    <xf numFmtId="0" fontId="0" fillId="4" borderId="2" xfId="0" applyFill="1" applyBorder="1" applyAlignment="1">
      <alignment horizontal="center" vertical="center"/>
    </xf>
    <xf numFmtId="0" fontId="0" fillId="5" borderId="2" xfId="0" applyFill="1" applyBorder="1" applyAlignment="1">
      <alignment horizontal="center" vertical="center"/>
    </xf>
    <xf numFmtId="0" fontId="0" fillId="0" borderId="1" xfId="0" applyBorder="1"/>
    <xf numFmtId="0" fontId="12" fillId="8" borderId="6" xfId="0" applyFont="1" applyFill="1" applyBorder="1" applyAlignment="1">
      <alignment horizontal="center" vertical="center"/>
    </xf>
    <xf numFmtId="0" fontId="12" fillId="9" borderId="6" xfId="0" applyFont="1" applyFill="1" applyBorder="1" applyAlignment="1">
      <alignment horizontal="center" vertical="center"/>
    </xf>
    <xf numFmtId="0" fontId="12" fillId="10" borderId="6" xfId="0" applyFont="1" applyFill="1" applyBorder="1" applyAlignment="1">
      <alignment horizontal="center" vertical="center"/>
    </xf>
    <xf numFmtId="0" fontId="12" fillId="11" borderId="6" xfId="0" applyFont="1" applyFill="1" applyBorder="1" applyAlignment="1">
      <alignment horizontal="center" vertical="center"/>
    </xf>
    <xf numFmtId="0" fontId="12" fillId="8" borderId="6" xfId="0" applyFont="1" applyFill="1" applyBorder="1"/>
    <xf numFmtId="0" fontId="4" fillId="9" borderId="6" xfId="0" applyFont="1" applyFill="1" applyBorder="1"/>
    <xf numFmtId="164" fontId="12" fillId="9" borderId="6" xfId="0" applyNumberFormat="1" applyFont="1" applyFill="1" applyBorder="1" applyAlignment="1">
      <alignment horizontal="right" vertical="top"/>
    </xf>
    <xf numFmtId="164" fontId="12" fillId="9" borderId="6" xfId="0" applyNumberFormat="1" applyFont="1" applyFill="1" applyBorder="1"/>
    <xf numFmtId="0" fontId="12" fillId="10" borderId="6" xfId="0" applyFont="1" applyFill="1" applyBorder="1"/>
    <xf numFmtId="164" fontId="12" fillId="10" borderId="6" xfId="0" applyNumberFormat="1" applyFont="1" applyFill="1" applyBorder="1"/>
    <xf numFmtId="0" fontId="12" fillId="11" borderId="6" xfId="0" applyFont="1" applyFill="1" applyBorder="1"/>
    <xf numFmtId="164" fontId="12" fillId="11" borderId="6" xfId="0" applyNumberFormat="1" applyFont="1" applyFill="1" applyBorder="1"/>
    <xf numFmtId="0" fontId="12" fillId="9" borderId="6" xfId="0" applyFont="1" applyFill="1" applyBorder="1"/>
    <xf numFmtId="164" fontId="12" fillId="10" borderId="6" xfId="0" applyNumberFormat="1" applyFont="1" applyFill="1" applyBorder="1" applyAlignment="1">
      <alignment horizontal="right" vertical="top"/>
    </xf>
    <xf numFmtId="164" fontId="4" fillId="10" borderId="6" xfId="0" applyNumberFormat="1" applyFont="1" applyFill="1" applyBorder="1"/>
    <xf numFmtId="0" fontId="12" fillId="9" borderId="4" xfId="0" applyFont="1" applyFill="1" applyBorder="1" applyAlignment="1">
      <alignment horizontal="center" vertical="center"/>
    </xf>
    <xf numFmtId="0" fontId="12" fillId="10" borderId="4" xfId="0" applyFont="1" applyFill="1" applyBorder="1" applyAlignment="1">
      <alignment horizontal="center" vertical="center"/>
    </xf>
    <xf numFmtId="16" fontId="0" fillId="3" borderId="1" xfId="0" applyNumberFormat="1" applyFill="1" applyBorder="1"/>
    <xf numFmtId="0" fontId="5" fillId="4" borderId="1" xfId="0" applyFont="1" applyFill="1" applyBorder="1"/>
    <xf numFmtId="0" fontId="12" fillId="8" borderId="2" xfId="0" applyFont="1" applyFill="1" applyBorder="1"/>
    <xf numFmtId="16" fontId="12" fillId="8" borderId="2" xfId="0" applyNumberFormat="1" applyFont="1" applyFill="1" applyBorder="1"/>
    <xf numFmtId="0" fontId="5" fillId="9" borderId="6" xfId="0" applyFont="1" applyFill="1" applyBorder="1"/>
    <xf numFmtId="0" fontId="13" fillId="0" borderId="0" xfId="0" applyFont="1" applyAlignment="1">
      <alignment horizontal="center"/>
    </xf>
    <xf numFmtId="0" fontId="13" fillId="0" borderId="0" xfId="0" applyFont="1"/>
    <xf numFmtId="2" fontId="13" fillId="0" borderId="0" xfId="0" applyNumberFormat="1" applyFont="1"/>
    <xf numFmtId="164" fontId="13" fillId="0" borderId="0" xfId="0" applyNumberFormat="1" applyFont="1"/>
    <xf numFmtId="0" fontId="9" fillId="0" borderId="0" xfId="0" applyFont="1" applyAlignment="1">
      <alignment vertical="center"/>
    </xf>
    <xf numFmtId="0" fontId="0" fillId="0" borderId="1" xfId="0" applyBorder="1" applyAlignment="1">
      <alignment horizontal="center"/>
    </xf>
    <xf numFmtId="16" fontId="0" fillId="0" borderId="1" xfId="0" applyNumberFormat="1" applyBorder="1" applyAlignment="1">
      <alignment horizontal="center"/>
    </xf>
    <xf numFmtId="2" fontId="0" fillId="0" borderId="1" xfId="0" applyNumberFormat="1" applyBorder="1"/>
    <xf numFmtId="164" fontId="0" fillId="0" borderId="1" xfId="0" applyNumberFormat="1" applyBorder="1"/>
    <xf numFmtId="2" fontId="0" fillId="0" borderId="1" xfId="0" applyNumberFormat="1" applyBorder="1" applyAlignment="1">
      <alignment horizontal="center"/>
    </xf>
    <xf numFmtId="16" fontId="0" fillId="0" borderId="0" xfId="0" applyNumberFormat="1"/>
    <xf numFmtId="164" fontId="5" fillId="5" borderId="1" xfId="2" applyNumberFormat="1" applyFont="1" applyFill="1" applyBorder="1" applyAlignment="1">
      <alignment horizontal="right" vertical="top"/>
    </xf>
    <xf numFmtId="164" fontId="5" fillId="5" borderId="1" xfId="0" applyNumberFormat="1" applyFont="1" applyFill="1" applyBorder="1"/>
    <xf numFmtId="164" fontId="5" fillId="10" borderId="6" xfId="0" applyNumberFormat="1" applyFont="1" applyFill="1" applyBorder="1" applyAlignment="1">
      <alignment horizontal="right" vertical="top"/>
    </xf>
    <xf numFmtId="164" fontId="5" fillId="10" borderId="6" xfId="0" applyNumberFormat="1" applyFont="1" applyFill="1" applyBorder="1"/>
    <xf numFmtId="16" fontId="0" fillId="0" borderId="7" xfId="0" applyNumberFormat="1" applyBorder="1" applyAlignment="1">
      <alignment horizontal="center"/>
    </xf>
    <xf numFmtId="164" fontId="0" fillId="0" borderId="7" xfId="0" applyNumberFormat="1" applyBorder="1"/>
    <xf numFmtId="0" fontId="0" fillId="0" borderId="7" xfId="0" applyBorder="1"/>
    <xf numFmtId="0" fontId="2" fillId="0" borderId="0" xfId="0" applyFont="1"/>
    <xf numFmtId="0" fontId="14" fillId="0" borderId="1"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wrapText="1"/>
    </xf>
    <xf numFmtId="165" fontId="9" fillId="0" borderId="1" xfId="0" applyNumberFormat="1" applyFont="1" applyBorder="1" applyAlignment="1">
      <alignment horizontal="center"/>
    </xf>
    <xf numFmtId="164" fontId="0" fillId="0" borderId="1" xfId="0" applyNumberFormat="1" applyBorder="1" applyAlignment="1">
      <alignment horizontal="center"/>
    </xf>
    <xf numFmtId="164" fontId="9" fillId="0" borderId="1" xfId="0" applyNumberFormat="1" applyFont="1" applyBorder="1" applyAlignment="1">
      <alignment vertical="center" wrapText="1"/>
    </xf>
    <xf numFmtId="164" fontId="0" fillId="0" borderId="1" xfId="0" applyNumberFormat="1" applyBorder="1" applyAlignment="1">
      <alignment vertical="center"/>
    </xf>
    <xf numFmtId="164" fontId="0" fillId="0" borderId="1" xfId="0" applyNumberFormat="1" applyBorder="1" applyAlignment="1">
      <alignment horizontal="center" vertical="center"/>
    </xf>
    <xf numFmtId="44" fontId="0" fillId="0" borderId="1" xfId="0" applyNumberFormat="1" applyBorder="1"/>
    <xf numFmtId="0" fontId="0" fillId="0" borderId="1" xfId="0" applyBorder="1" applyAlignment="1">
      <alignment horizontal="right"/>
    </xf>
    <xf numFmtId="0" fontId="9" fillId="0" borderId="0" xfId="0" applyFont="1"/>
    <xf numFmtId="0" fontId="9" fillId="0" borderId="0" xfId="0" applyFont="1" applyAlignment="1">
      <alignment horizontal="center"/>
    </xf>
    <xf numFmtId="43" fontId="0" fillId="0" borderId="1" xfId="1" applyFont="1" applyBorder="1"/>
    <xf numFmtId="44" fontId="0" fillId="0" borderId="1" xfId="2" applyFont="1" applyBorder="1"/>
    <xf numFmtId="44" fontId="15" fillId="0" borderId="1" xfId="0" applyNumberFormat="1" applyFont="1" applyBorder="1"/>
    <xf numFmtId="164" fontId="0" fillId="0" borderId="1" xfId="2" applyNumberFormat="1" applyFont="1" applyBorder="1"/>
    <xf numFmtId="0" fontId="0" fillId="16" borderId="1" xfId="0" applyFill="1" applyBorder="1" applyAlignment="1">
      <alignment horizontal="center" vertical="center"/>
    </xf>
    <xf numFmtId="0" fontId="0" fillId="0" borderId="1" xfId="0" applyBorder="1" applyAlignment="1">
      <alignment horizontal="left" vertical="top"/>
    </xf>
    <xf numFmtId="164" fontId="5" fillId="0" borderId="1" xfId="2" applyNumberFormat="1" applyFont="1" applyBorder="1" applyAlignment="1">
      <alignment horizontal="center"/>
    </xf>
    <xf numFmtId="9" fontId="2" fillId="16" borderId="1" xfId="0" applyNumberFormat="1" applyFont="1" applyFill="1" applyBorder="1"/>
    <xf numFmtId="44" fontId="0" fillId="5" borderId="0" xfId="0" applyNumberFormat="1" applyFill="1"/>
    <xf numFmtId="44" fontId="0" fillId="18" borderId="1" xfId="0" applyNumberFormat="1" applyFill="1" applyBorder="1"/>
    <xf numFmtId="0" fontId="9" fillId="19" borderId="1" xfId="0" applyFont="1" applyFill="1" applyBorder="1" applyAlignment="1">
      <alignment horizontal="center" vertical="center"/>
    </xf>
    <xf numFmtId="0" fontId="0" fillId="19" borderId="1" xfId="0" applyFill="1" applyBorder="1" applyAlignment="1">
      <alignment horizontal="center" vertical="center"/>
    </xf>
    <xf numFmtId="0" fontId="17" fillId="20" borderId="1" xfId="0" applyFont="1" applyFill="1" applyBorder="1" applyAlignment="1">
      <alignment horizontal="center" vertical="center"/>
    </xf>
    <xf numFmtId="44" fontId="0" fillId="21" borderId="0" xfId="0" applyNumberFormat="1" applyFill="1"/>
    <xf numFmtId="0" fontId="10" fillId="0" borderId="0" xfId="0" applyFont="1" applyAlignment="1">
      <alignment horizontal="right"/>
    </xf>
    <xf numFmtId="9" fontId="17" fillId="4" borderId="1" xfId="0" applyNumberFormat="1" applyFont="1" applyFill="1" applyBorder="1" applyAlignment="1">
      <alignment horizontal="center"/>
    </xf>
    <xf numFmtId="0" fontId="3" fillId="2" borderId="0" xfId="0" applyFont="1" applyFill="1" applyAlignment="1">
      <alignment horizont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6" fillId="7" borderId="0" xfId="0" applyFont="1" applyFill="1" applyAlignment="1">
      <alignment horizontal="center"/>
    </xf>
    <xf numFmtId="0" fontId="0" fillId="0" borderId="0" xfId="0" applyAlignment="1">
      <alignment horizontal="center"/>
    </xf>
    <xf numFmtId="0" fontId="7" fillId="5" borderId="0" xfId="0" applyFont="1" applyFill="1" applyAlignment="1">
      <alignment horizontal="center"/>
    </xf>
    <xf numFmtId="0" fontId="9" fillId="13" borderId="8"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10" xfId="0" applyFont="1" applyFill="1" applyBorder="1" applyAlignment="1">
      <alignment horizontal="center" vertical="center"/>
    </xf>
    <xf numFmtId="0" fontId="9" fillId="15" borderId="8" xfId="0" applyFont="1" applyFill="1" applyBorder="1" applyAlignment="1">
      <alignment horizontal="center" vertical="center"/>
    </xf>
    <xf numFmtId="0" fontId="9" fillId="15" borderId="9" xfId="0" applyFont="1" applyFill="1" applyBorder="1" applyAlignment="1">
      <alignment horizontal="center" vertical="center"/>
    </xf>
    <xf numFmtId="0" fontId="9" fillId="15" borderId="10" xfId="0" applyFont="1" applyFill="1" applyBorder="1" applyAlignment="1">
      <alignment horizontal="center" vertical="center"/>
    </xf>
    <xf numFmtId="0" fontId="9" fillId="12" borderId="1" xfId="0" applyFont="1" applyFill="1" applyBorder="1" applyAlignment="1">
      <alignment horizontal="center" vertical="center"/>
    </xf>
    <xf numFmtId="0" fontId="9" fillId="13" borderId="1" xfId="0" applyFont="1" applyFill="1" applyBorder="1" applyAlignment="1">
      <alignment horizontal="center" vertical="center"/>
    </xf>
    <xf numFmtId="0" fontId="9" fillId="15" borderId="1" xfId="0" applyFont="1" applyFill="1" applyBorder="1" applyAlignment="1">
      <alignment horizontal="center" vertical="center"/>
    </xf>
    <xf numFmtId="0" fontId="9" fillId="12" borderId="8" xfId="0" applyFont="1" applyFill="1" applyBorder="1" applyAlignment="1">
      <alignment horizontal="center" vertical="center"/>
    </xf>
    <xf numFmtId="0" fontId="9" fillId="12" borderId="9" xfId="0" applyFont="1" applyFill="1" applyBorder="1" applyAlignment="1">
      <alignment horizontal="center" vertical="center"/>
    </xf>
    <xf numFmtId="0" fontId="9" fillId="12" borderId="10" xfId="0" applyFont="1" applyFill="1" applyBorder="1" applyAlignment="1">
      <alignment horizontal="center" vertical="center"/>
    </xf>
    <xf numFmtId="0" fontId="10" fillId="12" borderId="3" xfId="0" applyFont="1" applyFill="1" applyBorder="1" applyAlignment="1">
      <alignment horizontal="center"/>
    </xf>
    <xf numFmtId="0" fontId="10" fillId="12" borderId="4" xfId="0" applyFont="1" applyFill="1" applyBorder="1" applyAlignment="1">
      <alignment horizontal="center"/>
    </xf>
    <xf numFmtId="0" fontId="10" fillId="12" borderId="5" xfId="0" applyFont="1" applyFill="1" applyBorder="1" applyAlignment="1">
      <alignment horizontal="center"/>
    </xf>
    <xf numFmtId="0" fontId="10" fillId="13" borderId="3" xfId="0" applyFont="1" applyFill="1" applyBorder="1" applyAlignment="1">
      <alignment horizontal="center"/>
    </xf>
    <xf numFmtId="0" fontId="10" fillId="13" borderId="4" xfId="0" applyFont="1" applyFill="1" applyBorder="1" applyAlignment="1">
      <alignment horizontal="center"/>
    </xf>
    <xf numFmtId="0" fontId="10" fillId="13" borderId="5" xfId="0" applyFont="1" applyFill="1" applyBorder="1" applyAlignment="1">
      <alignment horizontal="center"/>
    </xf>
    <xf numFmtId="0" fontId="11" fillId="14" borderId="3" xfId="0" applyFont="1" applyFill="1" applyBorder="1" applyAlignment="1">
      <alignment horizontal="center"/>
    </xf>
    <xf numFmtId="0" fontId="11" fillId="14" borderId="4" xfId="0" applyFont="1" applyFill="1" applyBorder="1" applyAlignment="1">
      <alignment horizontal="center"/>
    </xf>
    <xf numFmtId="0" fontId="11" fillId="14" borderId="5" xfId="0" applyFont="1" applyFill="1" applyBorder="1" applyAlignment="1">
      <alignment horizont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12" fillId="8" borderId="7"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5" xfId="0" applyFont="1" applyFill="1" applyBorder="1" applyAlignment="1">
      <alignment horizontal="center" vertical="center"/>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2" fillId="10"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5" xfId="0" applyFont="1" applyFill="1" applyBorder="1" applyAlignment="1">
      <alignment horizontal="center" vertical="center"/>
    </xf>
    <xf numFmtId="0" fontId="0" fillId="3" borderId="2" xfId="0" applyFill="1" applyBorder="1" applyAlignment="1">
      <alignment horizontal="center" vertical="center"/>
    </xf>
    <xf numFmtId="0" fontId="0" fillId="4" borderId="2" xfId="0" applyFill="1" applyBorder="1" applyAlignment="1">
      <alignment horizontal="center" vertical="center"/>
    </xf>
    <xf numFmtId="0" fontId="0" fillId="5" borderId="2" xfId="0" applyFill="1" applyBorder="1" applyAlignment="1">
      <alignment horizontal="center" vertical="center"/>
    </xf>
    <xf numFmtId="0" fontId="0" fillId="6" borderId="2" xfId="0" applyFill="1" applyBorder="1" applyAlignment="1">
      <alignment horizontal="center" vertical="center"/>
    </xf>
    <xf numFmtId="0" fontId="9" fillId="0" borderId="1" xfId="0" applyFont="1" applyBorder="1" applyAlignment="1">
      <alignment horizontal="center"/>
    </xf>
    <xf numFmtId="44" fontId="9" fillId="0" borderId="1" xfId="0" applyNumberFormat="1" applyFont="1" applyBorder="1" applyAlignment="1">
      <alignment horizontal="center"/>
    </xf>
    <xf numFmtId="0" fontId="0" fillId="17" borderId="1" xfId="0" applyFill="1" applyBorder="1" applyAlignment="1">
      <alignment horizontal="center"/>
    </xf>
    <xf numFmtId="44" fontId="9" fillId="0" borderId="1" xfId="0" applyNumberFormat="1" applyFont="1" applyBorder="1" applyAlignment="1">
      <alignment horizontal="right"/>
    </xf>
    <xf numFmtId="0" fontId="2" fillId="16" borderId="1" xfId="0" applyFont="1" applyFill="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16" borderId="11" xfId="0" applyFill="1" applyBorder="1" applyAlignment="1">
      <alignment horizontal="center" vertical="center"/>
    </xf>
    <xf numFmtId="0" fontId="0" fillId="16" borderId="12" xfId="0" applyFill="1" applyBorder="1" applyAlignment="1">
      <alignment horizontal="center" vertical="center"/>
    </xf>
    <xf numFmtId="0" fontId="0" fillId="16" borderId="13" xfId="0" applyFill="1" applyBorder="1" applyAlignment="1">
      <alignment horizontal="center" vertical="center"/>
    </xf>
    <xf numFmtId="0" fontId="0" fillId="16" borderId="6" xfId="0" applyFill="1" applyBorder="1" applyAlignment="1">
      <alignment horizontal="center" vertical="center"/>
    </xf>
    <xf numFmtId="0" fontId="0" fillId="16" borderId="3" xfId="0" applyFill="1" applyBorder="1" applyAlignment="1">
      <alignment horizontal="center" vertical="center"/>
    </xf>
    <xf numFmtId="0" fontId="0" fillId="16" borderId="4" xfId="0" applyFill="1" applyBorder="1" applyAlignment="1">
      <alignment horizontal="center" vertical="center"/>
    </xf>
    <xf numFmtId="0" fontId="0" fillId="16" borderId="5" xfId="0" applyFill="1" applyBorder="1" applyAlignment="1">
      <alignment horizontal="center" vertical="center"/>
    </xf>
    <xf numFmtId="0" fontId="0" fillId="16" borderId="7"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1" xfId="0" applyFill="1" applyBorder="1" applyAlignment="1">
      <alignment horizontal="center" vertical="center" wrapText="1"/>
    </xf>
    <xf numFmtId="0" fontId="0" fillId="16" borderId="7" xfId="0" applyFill="1" applyBorder="1" applyAlignment="1">
      <alignment horizontal="center" vertical="center"/>
    </xf>
    <xf numFmtId="0" fontId="0" fillId="16" borderId="2" xfId="0" applyFill="1" applyBorder="1" applyAlignment="1">
      <alignment horizontal="center" vertical="center"/>
    </xf>
    <xf numFmtId="0" fontId="16" fillId="16" borderId="1" xfId="0" applyFont="1" applyFill="1" applyBorder="1" applyAlignment="1">
      <alignment horizontal="center" vertical="center"/>
    </xf>
    <xf numFmtId="0" fontId="15" fillId="16" borderId="1" xfId="0" applyFont="1" applyFill="1" applyBorder="1" applyAlignment="1">
      <alignment horizontal="center" vertical="center"/>
    </xf>
    <xf numFmtId="0" fontId="14" fillId="19" borderId="1" xfId="0" applyFont="1" applyFill="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164" fontId="9" fillId="0" borderId="3"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44" fontId="9" fillId="0" borderId="3" xfId="0" applyNumberFormat="1" applyFont="1" applyBorder="1" applyAlignment="1">
      <alignment horizontal="center"/>
    </xf>
    <xf numFmtId="44" fontId="9" fillId="0" borderId="5" xfId="0" applyNumberFormat="1" applyFont="1" applyBorder="1" applyAlignment="1">
      <alignment horizontal="center"/>
    </xf>
    <xf numFmtId="0" fontId="0" fillId="19" borderId="1" xfId="0" applyFill="1" applyBorder="1" applyAlignment="1">
      <alignment horizontal="center"/>
    </xf>
    <xf numFmtId="0" fontId="9" fillId="0" borderId="1" xfId="0" applyFont="1" applyBorder="1" applyAlignment="1">
      <alignment horizontal="center" vertical="center"/>
    </xf>
    <xf numFmtId="0" fontId="0" fillId="0" borderId="1" xfId="0" applyBorder="1" applyAlignment="1">
      <alignment horizontal="center"/>
    </xf>
    <xf numFmtId="0" fontId="17" fillId="4" borderId="1" xfId="0" applyFont="1" applyFill="1" applyBorder="1" applyAlignment="1">
      <alignment horizontal="center" vertical="center"/>
    </xf>
    <xf numFmtId="0" fontId="0" fillId="20" borderId="1" xfId="0" applyFill="1" applyBorder="1" applyAlignment="1">
      <alignment horizontal="center"/>
    </xf>
    <xf numFmtId="44" fontId="0" fillId="0" borderId="1" xfId="0" applyNumberFormat="1" applyBorder="1" applyAlignment="1">
      <alignment horizontal="center"/>
    </xf>
    <xf numFmtId="9" fontId="0" fillId="21" borderId="14" xfId="3" applyFont="1" applyFill="1" applyBorder="1" applyAlignment="1">
      <alignment horizontal="center"/>
    </xf>
    <xf numFmtId="2" fontId="0" fillId="0" borderId="1" xfId="0" applyNumberFormat="1" applyBorder="1" applyAlignment="1">
      <alignment horizontal="right"/>
    </xf>
    <xf numFmtId="0" fontId="0" fillId="22" borderId="1" xfId="0" applyFill="1" applyBorder="1" applyAlignment="1">
      <alignment horizontal="center"/>
    </xf>
    <xf numFmtId="9" fontId="0" fillId="20" borderId="1" xfId="0" applyNumberFormat="1" applyFill="1" applyBorder="1" applyAlignment="1">
      <alignment horizontal="center"/>
    </xf>
    <xf numFmtId="0" fontId="8" fillId="4" borderId="0" xfId="0" applyFont="1" applyFill="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FFD8FF"/>
      <color rgb="FF004479"/>
      <color rgb="FF78AAD6"/>
      <color rgb="FF3DAAD6"/>
      <color rgb="FF407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812800</xdr:colOff>
      <xdr:row>3</xdr:row>
      <xdr:rowOff>50800</xdr:rowOff>
    </xdr:from>
    <xdr:ext cx="14160500" cy="673100"/>
    <xdr:sp macro="" textlink="">
      <xdr:nvSpPr>
        <xdr:cNvPr id="2" name="CuadroTexto 1">
          <a:extLst>
            <a:ext uri="{FF2B5EF4-FFF2-40B4-BE49-F238E27FC236}">
              <a16:creationId xmlns:a16="http://schemas.microsoft.com/office/drawing/2014/main" id="{1019F0D3-BB61-F24F-A412-89F5A843C9A4}"/>
            </a:ext>
          </a:extLst>
        </xdr:cNvPr>
        <xdr:cNvSpPr txBox="1"/>
      </xdr:nvSpPr>
      <xdr:spPr>
        <a:xfrm>
          <a:off x="812800" y="723900"/>
          <a:ext cx="14160500" cy="6731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Confeccionar</a:t>
          </a:r>
          <a:r>
            <a:rPr lang="es-MX" sz="1600" baseline="0">
              <a:latin typeface="Arial" panose="020B0604020202020204" pitchFamily="34" charset="0"/>
              <a:cs typeface="Arial" panose="020B0604020202020204" pitchFamily="34" charset="0"/>
            </a:rPr>
            <a:t> las fichas de almacén del producto "Z"  que comercializa la empresa tropical, S.A., según los métodos de valoración P.M.P. y F.I.F.O, sabiendo que durante el mes de marzo de 2013 se produjeron los siguientes movimientos: </a:t>
          </a:r>
          <a:endParaRPr lang="es-MX" sz="16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812799</xdr:colOff>
      <xdr:row>3</xdr:row>
      <xdr:rowOff>63893</xdr:rowOff>
    </xdr:from>
    <xdr:ext cx="13868401" cy="889000"/>
    <xdr:sp macro="" textlink="">
      <xdr:nvSpPr>
        <xdr:cNvPr id="2" name="CuadroTexto 1">
          <a:extLst>
            <a:ext uri="{FF2B5EF4-FFF2-40B4-BE49-F238E27FC236}">
              <a16:creationId xmlns:a16="http://schemas.microsoft.com/office/drawing/2014/main" id="{8C307EF0-9896-D343-BC17-FABD9450BEF1}"/>
            </a:ext>
          </a:extLst>
        </xdr:cNvPr>
        <xdr:cNvSpPr txBox="1"/>
      </xdr:nvSpPr>
      <xdr:spPr>
        <a:xfrm>
          <a:off x="812799" y="736993"/>
          <a:ext cx="13868401" cy="8890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Realizar</a:t>
          </a:r>
          <a:r>
            <a:rPr lang="es-MX" sz="1600" baseline="0">
              <a:latin typeface="Arial" panose="020B0604020202020204" pitchFamily="34" charset="0"/>
              <a:cs typeface="Arial" panose="020B0604020202020204" pitchFamily="34" charset="0"/>
            </a:rPr>
            <a:t> la ficha de almacén de la empresa DIAL, Sabiendo que el movimiento de las existencias de latas de guisantes de referencia 390 L, Suministradas por La Huerta, Sociedad Corporativa, durante el primer trimestre de 2013, son los que aparecen a continuación: (Anotar los movimientos en la ficha de almacén según los sistemas FIFO y P.M.P.)</a:t>
          </a:r>
          <a:endParaRPr lang="es-MX" sz="1600">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812800</xdr:colOff>
      <xdr:row>3</xdr:row>
      <xdr:rowOff>50800</xdr:rowOff>
    </xdr:from>
    <xdr:ext cx="15722600" cy="546100"/>
    <xdr:sp macro="" textlink="">
      <xdr:nvSpPr>
        <xdr:cNvPr id="2" name="CuadroTexto 1">
          <a:extLst>
            <a:ext uri="{FF2B5EF4-FFF2-40B4-BE49-F238E27FC236}">
              <a16:creationId xmlns:a16="http://schemas.microsoft.com/office/drawing/2014/main" id="{44CF774C-9258-B444-B121-07C83031110F}"/>
            </a:ext>
          </a:extLst>
        </xdr:cNvPr>
        <xdr:cNvSpPr txBox="1"/>
      </xdr:nvSpPr>
      <xdr:spPr>
        <a:xfrm>
          <a:off x="812800" y="723900"/>
          <a:ext cx="15722600" cy="5461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En</a:t>
          </a:r>
          <a:r>
            <a:rPr lang="es-MX" sz="1600" baseline="0">
              <a:latin typeface="Arial" panose="020B0604020202020204" pitchFamily="34" charset="0"/>
              <a:cs typeface="Arial" panose="020B0604020202020204" pitchFamily="34" charset="0"/>
            </a:rPr>
            <a:t> un almacén hay tres artículos, A, B y C. Las Existencias iniciales al 1 de Enero eran las siguientes:</a:t>
          </a:r>
          <a:endParaRPr lang="es-MX" sz="1600">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787400</xdr:colOff>
      <xdr:row>2</xdr:row>
      <xdr:rowOff>76200</xdr:rowOff>
    </xdr:from>
    <xdr:ext cx="11747500" cy="901700"/>
    <xdr:sp macro="" textlink="">
      <xdr:nvSpPr>
        <xdr:cNvPr id="2" name="CuadroTexto 1">
          <a:extLst>
            <a:ext uri="{FF2B5EF4-FFF2-40B4-BE49-F238E27FC236}">
              <a16:creationId xmlns:a16="http://schemas.microsoft.com/office/drawing/2014/main" id="{CB769049-DE60-7F4D-A1A5-096A7CFC4A8A}"/>
            </a:ext>
          </a:extLst>
        </xdr:cNvPr>
        <xdr:cNvSpPr txBox="1"/>
      </xdr:nvSpPr>
      <xdr:spPr>
        <a:xfrm>
          <a:off x="1612900" y="546100"/>
          <a:ext cx="11747500" cy="9017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La</a:t>
          </a:r>
          <a:r>
            <a:rPr lang="es-MX" sz="1600" baseline="0">
              <a:latin typeface="Arial" panose="020B0604020202020204" pitchFamily="34" charset="0"/>
              <a:cs typeface="Arial" panose="020B0604020202020204" pitchFamily="34" charset="0"/>
            </a:rPr>
            <a:t> empresa INGES, S.A. se dedica a la producción de A, para ello utiliza materia prima y otros consumibles, los cuales se introducen en el taller 1 y se obtiene el producto terminado. Durante el presente año los gastos  en los que ha incurrido son los siguientes: </a:t>
          </a:r>
          <a:endParaRPr lang="es-MX" sz="1600">
            <a:latin typeface="Arial" panose="020B0604020202020204" pitchFamily="34" charset="0"/>
            <a:cs typeface="Arial" panose="020B0604020202020204" pitchFamily="34" charset="0"/>
          </a:endParaRPr>
        </a:p>
      </xdr:txBody>
    </xdr:sp>
    <xdr:clientData/>
  </xdr:oneCellAnchor>
  <xdr:twoCellAnchor>
    <xdr:from>
      <xdr:col>6</xdr:col>
      <xdr:colOff>63500</xdr:colOff>
      <xdr:row>11</xdr:row>
      <xdr:rowOff>469900</xdr:rowOff>
    </xdr:from>
    <xdr:to>
      <xdr:col>6</xdr:col>
      <xdr:colOff>749300</xdr:colOff>
      <xdr:row>11</xdr:row>
      <xdr:rowOff>469900</xdr:rowOff>
    </xdr:to>
    <xdr:cxnSp macro="">
      <xdr:nvCxnSpPr>
        <xdr:cNvPr id="4" name="Conector recto de flecha 3">
          <a:extLst>
            <a:ext uri="{FF2B5EF4-FFF2-40B4-BE49-F238E27FC236}">
              <a16:creationId xmlns:a16="http://schemas.microsoft.com/office/drawing/2014/main" id="{18B7796F-D027-FA47-91A7-4C6402070895}"/>
            </a:ext>
          </a:extLst>
        </xdr:cNvPr>
        <xdr:cNvCxnSpPr/>
      </xdr:nvCxnSpPr>
      <xdr:spPr>
        <a:xfrm>
          <a:off x="5880100" y="2590800"/>
          <a:ext cx="685800" cy="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2</xdr:col>
      <xdr:colOff>25400</xdr:colOff>
      <xdr:row>19</xdr:row>
      <xdr:rowOff>25400</xdr:rowOff>
    </xdr:from>
    <xdr:ext cx="11709400" cy="1130300"/>
    <xdr:sp macro="" textlink="">
      <xdr:nvSpPr>
        <xdr:cNvPr id="9" name="CuadroTexto 8">
          <a:extLst>
            <a:ext uri="{FF2B5EF4-FFF2-40B4-BE49-F238E27FC236}">
              <a16:creationId xmlns:a16="http://schemas.microsoft.com/office/drawing/2014/main" id="{AB289C90-27D0-944F-B624-3C433A68E372}"/>
            </a:ext>
          </a:extLst>
        </xdr:cNvPr>
        <xdr:cNvSpPr txBox="1"/>
      </xdr:nvSpPr>
      <xdr:spPr>
        <a:xfrm>
          <a:off x="1676400" y="4660900"/>
          <a:ext cx="11709400" cy="11303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Al</a:t>
          </a:r>
          <a:r>
            <a:rPr lang="es-MX" sz="1600" baseline="0">
              <a:latin typeface="Arial" panose="020B0604020202020204" pitchFamily="34" charset="0"/>
              <a:cs typeface="Arial" panose="020B0604020202020204" pitchFamily="34" charset="0"/>
            </a:rPr>
            <a:t> inicio del período las existencias de Y asciendan a 1.000 unidades a 0.32 €/unidad y los consumidores a 6.20 €. Al final del mismo las existencias de Y asciendían a 500 unidades y consumibles a 4.90 €. De los gastos del año se considera que se imputan al proceso productivo un 75%. Calcula el coste de producción total y el coste de cada producto se se sabe que se han producido 1000 unidades.</a:t>
          </a:r>
          <a:endParaRPr lang="es-MX" sz="1600">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xdr:row>
      <xdr:rowOff>12700</xdr:rowOff>
    </xdr:from>
    <xdr:ext cx="12026900" cy="1397000"/>
    <xdr:sp macro="" textlink="">
      <xdr:nvSpPr>
        <xdr:cNvPr id="2" name="CuadroTexto 1">
          <a:extLst>
            <a:ext uri="{FF2B5EF4-FFF2-40B4-BE49-F238E27FC236}">
              <a16:creationId xmlns:a16="http://schemas.microsoft.com/office/drawing/2014/main" id="{0DE27E59-73E4-B143-8966-626C22C19E29}"/>
            </a:ext>
          </a:extLst>
        </xdr:cNvPr>
        <xdr:cNvSpPr txBox="1"/>
      </xdr:nvSpPr>
      <xdr:spPr>
        <a:xfrm>
          <a:off x="0" y="685800"/>
          <a:ext cx="12026900" cy="1397000"/>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latin typeface="Arial" panose="020B0604020202020204" pitchFamily="34" charset="0"/>
              <a:cs typeface="Arial" panose="020B0604020202020204" pitchFamily="34" charset="0"/>
            </a:rPr>
            <a:t>La empresa INDUSTRIAS PALADINO se dedica a fabricar lámparas, utilizando en su proceso productivo las siguientes</a:t>
          </a:r>
          <a:r>
            <a:rPr lang="es-MX" sz="1600" baseline="0">
              <a:latin typeface="Arial" panose="020B0604020202020204" pitchFamily="34" charset="0"/>
              <a:cs typeface="Arial" panose="020B0604020202020204" pitchFamily="34" charset="0"/>
            </a:rPr>
            <a:t> materias primas: materia prima X (200 unidadesa 32.50), materia prima C (600 unidades a25.60), materia prima B (1.400 unidades a 63.30), materia prima G (900 unidades a 73.30) y materia prima F (2.990 unidades a 10.60). Produce y vende al año 10.000 unidades. La mano de obra directa aplicada al producto supone unos gastos de 43,254.90. Los costes fijos de la empresa ascienden a 75,623.70</a:t>
          </a:r>
          <a:endParaRPr lang="es-MX" sz="16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570F9-4715-B144-9EFC-2A7B13EF1966}">
  <dimension ref="B3:N22"/>
  <sheetViews>
    <sheetView workbookViewId="0">
      <selection activeCell="J16" sqref="J16"/>
    </sheetView>
  </sheetViews>
  <sheetFormatPr baseColWidth="10" defaultRowHeight="16" x14ac:dyDescent="0.2"/>
  <cols>
    <col min="3" max="3" width="35.1640625" bestFit="1" customWidth="1"/>
    <col min="4" max="4" width="12.6640625" bestFit="1" customWidth="1"/>
    <col min="6" max="6" width="11" bestFit="1" customWidth="1"/>
    <col min="7" max="7" width="15.6640625" bestFit="1" customWidth="1"/>
    <col min="8" max="8" width="12.6640625" bestFit="1" customWidth="1"/>
    <col min="10" max="10" width="15.6640625" bestFit="1" customWidth="1"/>
    <col min="11" max="11" width="12.6640625" bestFit="1" customWidth="1"/>
    <col min="13" max="13" width="15.6640625" bestFit="1" customWidth="1"/>
  </cols>
  <sheetData>
    <row r="3" spans="2:14" ht="21" x14ac:dyDescent="0.25">
      <c r="B3" s="108" t="s">
        <v>0</v>
      </c>
      <c r="C3" s="108"/>
      <c r="D3" s="108"/>
      <c r="E3" s="108"/>
      <c r="F3" s="108"/>
      <c r="G3" s="108"/>
      <c r="H3" s="108"/>
      <c r="I3" s="108"/>
      <c r="J3" s="108"/>
      <c r="K3" s="108"/>
      <c r="L3" s="108"/>
      <c r="M3" s="108"/>
      <c r="N3" s="108"/>
    </row>
    <row r="8" spans="2:14" x14ac:dyDescent="0.2">
      <c r="B8" s="109" t="s">
        <v>1</v>
      </c>
      <c r="C8" s="109" t="s">
        <v>2</v>
      </c>
      <c r="D8" s="109"/>
      <c r="E8" s="110" t="s">
        <v>3</v>
      </c>
      <c r="F8" s="110"/>
      <c r="G8" s="110"/>
      <c r="H8" s="110"/>
      <c r="I8" s="111" t="s">
        <v>4</v>
      </c>
      <c r="J8" s="111"/>
      <c r="K8" s="111"/>
      <c r="L8" s="112" t="s">
        <v>5</v>
      </c>
      <c r="M8" s="112"/>
      <c r="N8" s="112"/>
    </row>
    <row r="9" spans="2:14" x14ac:dyDescent="0.2">
      <c r="B9" s="109"/>
      <c r="C9" s="1" t="s">
        <v>6</v>
      </c>
      <c r="D9" s="1" t="s">
        <v>7</v>
      </c>
      <c r="E9" s="2" t="s">
        <v>8</v>
      </c>
      <c r="F9" s="2" t="s">
        <v>9</v>
      </c>
      <c r="G9" s="2" t="s">
        <v>10</v>
      </c>
      <c r="H9" s="2" t="s">
        <v>11</v>
      </c>
      <c r="I9" s="3" t="s">
        <v>8</v>
      </c>
      <c r="J9" s="3" t="s">
        <v>10</v>
      </c>
      <c r="K9" s="3" t="s">
        <v>11</v>
      </c>
      <c r="L9" s="4" t="s">
        <v>8</v>
      </c>
      <c r="M9" s="4" t="s">
        <v>10</v>
      </c>
      <c r="N9" s="4" t="s">
        <v>12</v>
      </c>
    </row>
    <row r="10" spans="2:14" x14ac:dyDescent="0.2">
      <c r="B10" s="5">
        <v>38777</v>
      </c>
      <c r="C10" s="6" t="s">
        <v>13</v>
      </c>
      <c r="D10" s="1"/>
      <c r="E10" s="7">
        <v>300</v>
      </c>
      <c r="F10" s="8"/>
      <c r="G10" s="9">
        <v>10.199999999999999</v>
      </c>
      <c r="H10" s="10">
        <f>E10*G10</f>
        <v>3060</v>
      </c>
      <c r="I10" s="11"/>
      <c r="J10" s="12"/>
      <c r="K10" s="13"/>
      <c r="L10" s="14">
        <v>300</v>
      </c>
      <c r="M10" s="15">
        <v>10.199999999999999</v>
      </c>
      <c r="N10" s="15">
        <v>3060</v>
      </c>
    </row>
    <row r="11" spans="2:14" x14ac:dyDescent="0.2">
      <c r="B11" s="5">
        <v>38778</v>
      </c>
      <c r="C11" s="6" t="s">
        <v>14</v>
      </c>
      <c r="D11" s="1">
        <v>80</v>
      </c>
      <c r="E11" s="7">
        <v>50</v>
      </c>
      <c r="F11" s="8"/>
      <c r="G11" s="9">
        <v>10.8</v>
      </c>
      <c r="H11" s="10">
        <f>E11*G11</f>
        <v>540</v>
      </c>
      <c r="I11" s="11"/>
      <c r="J11" s="12"/>
      <c r="K11" s="13"/>
      <c r="L11" s="14">
        <f>L10+E11</f>
        <v>350</v>
      </c>
      <c r="M11" s="15">
        <f>N11/L11</f>
        <v>10.285714285714286</v>
      </c>
      <c r="N11" s="15">
        <f>N10+H11</f>
        <v>3600</v>
      </c>
    </row>
    <row r="12" spans="2:14" x14ac:dyDescent="0.2">
      <c r="B12" s="5">
        <v>38782</v>
      </c>
      <c r="C12" s="6" t="s">
        <v>15</v>
      </c>
      <c r="D12" s="1">
        <v>22</v>
      </c>
      <c r="E12" s="8"/>
      <c r="F12" s="8"/>
      <c r="G12" s="9"/>
      <c r="H12" s="10"/>
      <c r="I12" s="11">
        <v>100</v>
      </c>
      <c r="J12" s="12">
        <v>10.199999999999999</v>
      </c>
      <c r="K12" s="13">
        <f>I12*J12</f>
        <v>1019.9999999999999</v>
      </c>
      <c r="L12" s="14">
        <f>L11-I12</f>
        <v>250</v>
      </c>
      <c r="M12" s="15">
        <f>N12/L12</f>
        <v>10.32</v>
      </c>
      <c r="N12" s="15">
        <f>N11-K12</f>
        <v>2580</v>
      </c>
    </row>
    <row r="13" spans="2:14" x14ac:dyDescent="0.2">
      <c r="B13" s="5">
        <v>38784</v>
      </c>
      <c r="C13" s="6" t="s">
        <v>16</v>
      </c>
      <c r="D13" s="1">
        <v>23</v>
      </c>
      <c r="E13" s="7"/>
      <c r="F13" s="7"/>
      <c r="G13" s="10"/>
      <c r="H13" s="10"/>
      <c r="I13" s="11">
        <v>150</v>
      </c>
      <c r="J13" s="16">
        <v>10.199999999999999</v>
      </c>
      <c r="K13" s="13">
        <f>I13*J13</f>
        <v>1530</v>
      </c>
      <c r="L13" s="14">
        <f>L12-I13</f>
        <v>100</v>
      </c>
      <c r="M13" s="15">
        <f>N13/L13</f>
        <v>10.5</v>
      </c>
      <c r="N13" s="15">
        <f>N12-K13</f>
        <v>1050</v>
      </c>
    </row>
    <row r="14" spans="2:14" x14ac:dyDescent="0.2">
      <c r="B14" s="5">
        <v>38790</v>
      </c>
      <c r="C14" s="6" t="s">
        <v>17</v>
      </c>
      <c r="D14" s="1">
        <v>24</v>
      </c>
      <c r="E14" s="7"/>
      <c r="F14" s="7"/>
      <c r="G14" s="10"/>
      <c r="H14" s="10"/>
      <c r="I14" s="17">
        <v>100</v>
      </c>
      <c r="J14" s="18">
        <v>10.5</v>
      </c>
      <c r="K14" s="19">
        <f t="shared" ref="K14" si="0">I14*J14</f>
        <v>1050</v>
      </c>
      <c r="L14" s="14">
        <f>L13-I14</f>
        <v>0</v>
      </c>
      <c r="M14" s="15"/>
      <c r="N14" s="15">
        <f>N13-K14</f>
        <v>0</v>
      </c>
    </row>
    <row r="15" spans="2:14" x14ac:dyDescent="0.2">
      <c r="B15" s="5">
        <v>38796</v>
      </c>
      <c r="C15" s="6" t="s">
        <v>18</v>
      </c>
      <c r="D15" s="1"/>
      <c r="E15" s="7">
        <v>10</v>
      </c>
      <c r="F15" s="7"/>
      <c r="G15" s="10">
        <v>10.5</v>
      </c>
      <c r="H15" s="10">
        <f>E15*G15</f>
        <v>105</v>
      </c>
      <c r="I15" s="11"/>
      <c r="J15" s="20"/>
      <c r="K15" s="21"/>
      <c r="L15" s="14">
        <f>L14+E15</f>
        <v>10</v>
      </c>
      <c r="M15" s="15">
        <f>N15/L15</f>
        <v>10.5</v>
      </c>
      <c r="N15" s="15">
        <f>N14+H15</f>
        <v>105</v>
      </c>
    </row>
    <row r="16" spans="2:14" x14ac:dyDescent="0.2">
      <c r="B16" s="5">
        <v>38801</v>
      </c>
      <c r="C16" s="6" t="s">
        <v>19</v>
      </c>
      <c r="D16" s="1">
        <v>92</v>
      </c>
      <c r="E16" s="7">
        <v>300</v>
      </c>
      <c r="F16" s="8">
        <v>140</v>
      </c>
      <c r="G16" s="10">
        <v>12.4</v>
      </c>
      <c r="H16" s="10">
        <f>E16*G16</f>
        <v>3720</v>
      </c>
      <c r="I16" s="11"/>
      <c r="J16" s="16"/>
      <c r="K16" s="13"/>
      <c r="L16" s="14">
        <f>L15+E16</f>
        <v>310</v>
      </c>
      <c r="M16" s="15">
        <f>N16/L16</f>
        <v>12.338709677419354</v>
      </c>
      <c r="N16" s="15">
        <f>N15+H16</f>
        <v>3825</v>
      </c>
    </row>
    <row r="17" spans="2:14" x14ac:dyDescent="0.2">
      <c r="B17" s="5">
        <v>38803</v>
      </c>
      <c r="C17" s="6" t="s">
        <v>20</v>
      </c>
      <c r="D17" s="1">
        <v>25</v>
      </c>
      <c r="E17" s="7"/>
      <c r="F17" s="7"/>
      <c r="G17" s="9"/>
      <c r="H17" s="10"/>
      <c r="I17" s="17">
        <v>70</v>
      </c>
      <c r="J17" s="22">
        <v>12.13</v>
      </c>
      <c r="K17" s="19">
        <f>I17*J17</f>
        <v>849.1</v>
      </c>
      <c r="L17" s="14">
        <f>L16-I17</f>
        <v>240</v>
      </c>
      <c r="M17" s="15">
        <f>N17/L17</f>
        <v>12.399583333333334</v>
      </c>
      <c r="N17" s="15">
        <f>N16-K17</f>
        <v>2975.9</v>
      </c>
    </row>
    <row r="18" spans="2:14" x14ac:dyDescent="0.2">
      <c r="B18" s="5">
        <v>38805</v>
      </c>
      <c r="C18" s="6" t="s">
        <v>21</v>
      </c>
      <c r="D18" s="1">
        <v>26</v>
      </c>
      <c r="E18" s="8"/>
      <c r="F18" s="8"/>
      <c r="G18" s="9"/>
      <c r="H18" s="10"/>
      <c r="I18" s="11">
        <v>100</v>
      </c>
      <c r="J18" s="12">
        <v>12.4</v>
      </c>
      <c r="K18" s="13">
        <f>I18*J18</f>
        <v>1240</v>
      </c>
      <c r="L18" s="14">
        <f>L17-I18</f>
        <v>140</v>
      </c>
      <c r="M18" s="15">
        <f>N18/L18</f>
        <v>12.399285714285716</v>
      </c>
      <c r="N18" s="15">
        <f>N17-K18</f>
        <v>1735.9</v>
      </c>
    </row>
    <row r="19" spans="2:14" x14ac:dyDescent="0.2">
      <c r="B19" s="5"/>
      <c r="C19" s="6"/>
      <c r="D19" s="6"/>
      <c r="E19" s="8"/>
      <c r="F19" s="8"/>
      <c r="G19" s="10"/>
      <c r="H19" s="10"/>
      <c r="I19" s="11"/>
      <c r="J19" s="16"/>
      <c r="K19" s="13"/>
      <c r="L19" s="14"/>
      <c r="M19" s="15"/>
      <c r="N19" s="15"/>
    </row>
    <row r="20" spans="2:14" x14ac:dyDescent="0.2">
      <c r="B20" s="5"/>
      <c r="C20" s="6"/>
      <c r="D20" s="6"/>
      <c r="E20" s="7"/>
      <c r="F20" s="7"/>
      <c r="G20" s="10"/>
      <c r="H20" s="7"/>
      <c r="I20" s="11"/>
      <c r="J20" s="16"/>
      <c r="K20" s="13"/>
      <c r="L20" s="14"/>
      <c r="M20" s="15"/>
      <c r="N20" s="15"/>
    </row>
    <row r="21" spans="2:14" x14ac:dyDescent="0.2">
      <c r="B21" s="5"/>
      <c r="C21" s="6"/>
      <c r="D21" s="6"/>
      <c r="E21" s="7"/>
      <c r="F21" s="7"/>
      <c r="G21" s="23"/>
      <c r="H21" s="10"/>
      <c r="I21" s="11"/>
      <c r="J21" s="12"/>
      <c r="K21" s="13"/>
      <c r="L21" s="14"/>
      <c r="M21" s="15"/>
      <c r="N21" s="15"/>
    </row>
    <row r="22" spans="2:14" x14ac:dyDescent="0.2">
      <c r="B22" s="5"/>
      <c r="C22" s="6"/>
      <c r="D22" s="6"/>
      <c r="E22" s="7"/>
      <c r="F22" s="7"/>
      <c r="G22" s="23"/>
      <c r="H22" s="10"/>
      <c r="I22" s="11"/>
      <c r="J22" s="12"/>
      <c r="K22" s="13"/>
      <c r="L22" s="14"/>
      <c r="M22" s="15"/>
      <c r="N22" s="15"/>
    </row>
  </sheetData>
  <mergeCells count="6">
    <mergeCell ref="B3:N3"/>
    <mergeCell ref="B8:B9"/>
    <mergeCell ref="C8:D8"/>
    <mergeCell ref="E8:H8"/>
    <mergeCell ref="I8:K8"/>
    <mergeCell ref="L8:N8"/>
  </mergeCells>
  <pageMargins left="0.7" right="0.7" top="0.75" bottom="0.75" header="0.3" footer="0.3"/>
  <ignoredErrors>
    <ignoredError sqref="M12:M13 M17:M18"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78F25-592E-A948-98D0-EEFC28817283}">
  <dimension ref="B3:N31"/>
  <sheetViews>
    <sheetView topLeftCell="A5" workbookViewId="0">
      <selection activeCell="M24" sqref="M24"/>
    </sheetView>
  </sheetViews>
  <sheetFormatPr baseColWidth="10" defaultRowHeight="16" x14ac:dyDescent="0.2"/>
  <cols>
    <col min="3" max="3" width="31.5" bestFit="1" customWidth="1"/>
    <col min="4" max="4" width="12.6640625" bestFit="1" customWidth="1"/>
    <col min="6" max="6" width="11" bestFit="1" customWidth="1"/>
    <col min="7" max="7" width="15.6640625" bestFit="1" customWidth="1"/>
    <col min="8" max="8" width="12.6640625" bestFit="1" customWidth="1"/>
    <col min="10" max="10" width="15.6640625" bestFit="1" customWidth="1"/>
    <col min="11" max="11" width="12.6640625" bestFit="1" customWidth="1"/>
    <col min="13" max="13" width="15.6640625" bestFit="1" customWidth="1"/>
  </cols>
  <sheetData>
    <row r="3" spans="2:14" ht="21" x14ac:dyDescent="0.25">
      <c r="B3" s="108" t="s">
        <v>22</v>
      </c>
      <c r="C3" s="108"/>
      <c r="D3" s="108"/>
      <c r="E3" s="108"/>
      <c r="F3" s="108"/>
      <c r="G3" s="108"/>
      <c r="H3" s="108"/>
      <c r="I3" s="108"/>
      <c r="J3" s="108"/>
      <c r="K3" s="108"/>
      <c r="L3" s="108"/>
      <c r="M3" s="108"/>
      <c r="N3" s="108"/>
    </row>
    <row r="9" spans="2:14" x14ac:dyDescent="0.2">
      <c r="B9" s="109" t="s">
        <v>1</v>
      </c>
      <c r="C9" s="109" t="s">
        <v>2</v>
      </c>
      <c r="D9" s="109"/>
      <c r="E9" s="110" t="s">
        <v>3</v>
      </c>
      <c r="F9" s="110"/>
      <c r="G9" s="110"/>
      <c r="H9" s="110"/>
      <c r="I9" s="111" t="s">
        <v>4</v>
      </c>
      <c r="J9" s="111"/>
      <c r="K9" s="111"/>
      <c r="L9" s="112" t="s">
        <v>5</v>
      </c>
      <c r="M9" s="112"/>
      <c r="N9" s="112"/>
    </row>
    <row r="10" spans="2:14" x14ac:dyDescent="0.2">
      <c r="B10" s="109"/>
      <c r="C10" s="1" t="s">
        <v>6</v>
      </c>
      <c r="D10" s="1" t="s">
        <v>7</v>
      </c>
      <c r="E10" s="2" t="s">
        <v>8</v>
      </c>
      <c r="F10" s="2" t="s">
        <v>9</v>
      </c>
      <c r="G10" s="2" t="s">
        <v>10</v>
      </c>
      <c r="H10" s="2" t="s">
        <v>11</v>
      </c>
      <c r="I10" s="3" t="s">
        <v>8</v>
      </c>
      <c r="J10" s="3" t="s">
        <v>10</v>
      </c>
      <c r="K10" s="3" t="s">
        <v>11</v>
      </c>
      <c r="L10" s="4" t="s">
        <v>8</v>
      </c>
      <c r="M10" s="4" t="s">
        <v>10</v>
      </c>
      <c r="N10" s="4" t="s">
        <v>12</v>
      </c>
    </row>
    <row r="11" spans="2:14" x14ac:dyDescent="0.2">
      <c r="B11" s="5">
        <v>41275</v>
      </c>
      <c r="C11" s="6" t="s">
        <v>23</v>
      </c>
      <c r="D11" s="1"/>
      <c r="E11" s="8">
        <v>100</v>
      </c>
      <c r="F11" s="8"/>
      <c r="G11" s="9">
        <v>0.3</v>
      </c>
      <c r="H11" s="10">
        <f>E11*G11</f>
        <v>30</v>
      </c>
      <c r="I11" s="11"/>
      <c r="J11" s="12"/>
      <c r="K11" s="12"/>
      <c r="L11" s="14">
        <v>100</v>
      </c>
      <c r="M11" s="15">
        <v>0.3</v>
      </c>
      <c r="N11" s="15">
        <v>30</v>
      </c>
    </row>
    <row r="12" spans="2:14" x14ac:dyDescent="0.2">
      <c r="B12" s="5">
        <v>41284</v>
      </c>
      <c r="C12" s="6" t="s">
        <v>24</v>
      </c>
      <c r="D12" s="1">
        <v>1932</v>
      </c>
      <c r="E12" s="8">
        <v>200</v>
      </c>
      <c r="F12" s="8"/>
      <c r="G12" s="9">
        <v>0.35</v>
      </c>
      <c r="H12" s="10">
        <f>E12*G12</f>
        <v>70</v>
      </c>
      <c r="I12" s="11"/>
      <c r="J12" s="12"/>
      <c r="K12" s="12"/>
      <c r="L12" s="14">
        <f>L11+E12</f>
        <v>300</v>
      </c>
      <c r="M12" s="15">
        <v>0.35</v>
      </c>
      <c r="N12" s="15">
        <f>N11+H12</f>
        <v>100</v>
      </c>
    </row>
    <row r="13" spans="2:14" x14ac:dyDescent="0.2">
      <c r="B13" s="5">
        <v>41325</v>
      </c>
      <c r="C13" s="6" t="s">
        <v>25</v>
      </c>
      <c r="D13" s="1">
        <v>4991</v>
      </c>
      <c r="E13" s="8"/>
      <c r="F13" s="8"/>
      <c r="G13" s="9"/>
      <c r="H13" s="10"/>
      <c r="I13" s="11">
        <v>300</v>
      </c>
      <c r="J13" s="12">
        <v>0.33</v>
      </c>
      <c r="K13" s="12">
        <f>I13*J13</f>
        <v>99</v>
      </c>
      <c r="L13" s="14">
        <f>L12-I13</f>
        <v>0</v>
      </c>
      <c r="M13" s="15">
        <v>0.33</v>
      </c>
      <c r="N13" s="15">
        <f>N12-K13</f>
        <v>1</v>
      </c>
    </row>
    <row r="14" spans="2:14" x14ac:dyDescent="0.2">
      <c r="B14" s="5">
        <v>41332</v>
      </c>
      <c r="C14" s="6" t="s">
        <v>26</v>
      </c>
      <c r="D14" s="1">
        <v>2922</v>
      </c>
      <c r="E14" s="8">
        <v>200</v>
      </c>
      <c r="F14" s="7"/>
      <c r="G14" s="10">
        <v>0.38</v>
      </c>
      <c r="H14" s="10">
        <f>E14*G14</f>
        <v>76</v>
      </c>
      <c r="I14" s="11"/>
      <c r="J14" s="16"/>
      <c r="K14" s="12"/>
      <c r="L14" s="14">
        <f>L13+E14</f>
        <v>200</v>
      </c>
      <c r="M14" s="15">
        <v>0.38</v>
      </c>
      <c r="N14" s="15">
        <f>N13+H14</f>
        <v>77</v>
      </c>
    </row>
    <row r="15" spans="2:14" x14ac:dyDescent="0.2">
      <c r="B15" s="5">
        <v>41320</v>
      </c>
      <c r="C15" s="6" t="s">
        <v>26</v>
      </c>
      <c r="D15" s="1">
        <v>3040</v>
      </c>
      <c r="E15" s="7">
        <v>200</v>
      </c>
      <c r="F15" s="7">
        <v>30</v>
      </c>
      <c r="G15" s="10">
        <v>0.4</v>
      </c>
      <c r="H15" s="10">
        <f>E15*G15</f>
        <v>80</v>
      </c>
      <c r="I15" s="11"/>
      <c r="J15" s="16"/>
      <c r="K15" s="12"/>
      <c r="L15" s="14">
        <f>L14+E15</f>
        <v>400</v>
      </c>
      <c r="M15" s="15">
        <v>0.4</v>
      </c>
      <c r="N15" s="15">
        <f>N14+H15</f>
        <v>157</v>
      </c>
    </row>
    <row r="16" spans="2:14" x14ac:dyDescent="0.2">
      <c r="B16" s="5">
        <v>41323</v>
      </c>
      <c r="C16" s="6" t="s">
        <v>27</v>
      </c>
      <c r="D16" s="1">
        <v>5360</v>
      </c>
      <c r="E16" s="7"/>
      <c r="F16" s="7"/>
      <c r="G16" s="10"/>
      <c r="H16" s="10"/>
      <c r="I16" s="11">
        <v>250</v>
      </c>
      <c r="J16" s="71">
        <v>0.38</v>
      </c>
      <c r="K16" s="72">
        <f>I16*J16</f>
        <v>95</v>
      </c>
      <c r="L16" s="14">
        <f>L15-I16</f>
        <v>150</v>
      </c>
      <c r="M16" s="15">
        <v>0.38</v>
      </c>
      <c r="N16" s="15">
        <f>N15-K16</f>
        <v>62</v>
      </c>
    </row>
    <row r="17" spans="2:14" x14ac:dyDescent="0.2">
      <c r="B17" s="5">
        <v>41326</v>
      </c>
      <c r="C17" s="6" t="s">
        <v>28</v>
      </c>
      <c r="D17" s="1">
        <v>5546</v>
      </c>
      <c r="E17" s="7"/>
      <c r="F17" s="8"/>
      <c r="G17" s="10"/>
      <c r="H17" s="10"/>
      <c r="I17" s="11">
        <v>120</v>
      </c>
      <c r="J17" s="16">
        <v>0.4</v>
      </c>
      <c r="K17" s="12">
        <f>I17*J17</f>
        <v>48</v>
      </c>
      <c r="L17" s="14">
        <f>L16-I17</f>
        <v>30</v>
      </c>
      <c r="M17" s="15">
        <v>0.4</v>
      </c>
      <c r="N17" s="15">
        <f>N16-K17</f>
        <v>14</v>
      </c>
    </row>
    <row r="18" spans="2:14" x14ac:dyDescent="0.2">
      <c r="B18" s="5">
        <v>41327</v>
      </c>
      <c r="C18" s="6" t="s">
        <v>26</v>
      </c>
      <c r="D18" s="1">
        <v>3512</v>
      </c>
      <c r="E18" s="7">
        <v>300</v>
      </c>
      <c r="F18" s="7">
        <v>300</v>
      </c>
      <c r="G18" s="9">
        <v>0.37</v>
      </c>
      <c r="H18" s="10">
        <f>E18*G18</f>
        <v>111</v>
      </c>
      <c r="I18" s="11"/>
      <c r="J18" s="12"/>
      <c r="K18" s="12"/>
      <c r="L18" s="14">
        <f>L17+E18</f>
        <v>330</v>
      </c>
      <c r="M18" s="15">
        <v>0.38</v>
      </c>
      <c r="N18" s="15">
        <f>N17+H18</f>
        <v>125</v>
      </c>
    </row>
    <row r="19" spans="2:14" x14ac:dyDescent="0.2">
      <c r="B19" s="5"/>
      <c r="C19" s="6"/>
      <c r="D19" s="1"/>
      <c r="E19" s="8"/>
      <c r="F19" s="8"/>
      <c r="G19" s="9"/>
      <c r="H19" s="10"/>
      <c r="I19" s="11"/>
      <c r="J19" s="12"/>
      <c r="K19" s="12"/>
      <c r="L19" s="14"/>
      <c r="M19" s="15"/>
      <c r="N19" s="15"/>
    </row>
    <row r="20" spans="2:14" x14ac:dyDescent="0.2">
      <c r="B20" s="5"/>
      <c r="C20" s="6"/>
      <c r="D20" s="6"/>
      <c r="E20" s="8"/>
      <c r="F20" s="8"/>
      <c r="G20" s="10"/>
      <c r="H20" s="10"/>
      <c r="I20" s="11"/>
      <c r="J20" s="16"/>
      <c r="K20" s="12"/>
      <c r="L20" s="14"/>
      <c r="M20" s="15"/>
      <c r="N20" s="15"/>
    </row>
    <row r="22" spans="2:14" ht="30" x14ac:dyDescent="0.3">
      <c r="C22" s="113" t="s">
        <v>29</v>
      </c>
      <c r="D22" s="113"/>
      <c r="E22" s="113"/>
      <c r="F22" s="113"/>
      <c r="H22" s="113" t="s">
        <v>30</v>
      </c>
      <c r="I22" s="113"/>
      <c r="J22" s="113"/>
      <c r="K22" s="113"/>
    </row>
    <row r="23" spans="2:14" x14ac:dyDescent="0.2">
      <c r="C23" s="24" t="s">
        <v>31</v>
      </c>
      <c r="D23">
        <v>100</v>
      </c>
      <c r="E23">
        <v>200</v>
      </c>
      <c r="F23">
        <f>D23+E23</f>
        <v>300</v>
      </c>
      <c r="H23" s="24" t="s">
        <v>31</v>
      </c>
      <c r="I23">
        <v>200</v>
      </c>
      <c r="J23">
        <v>50</v>
      </c>
      <c r="K23">
        <f>I23+J23</f>
        <v>250</v>
      </c>
    </row>
    <row r="24" spans="2:14" x14ac:dyDescent="0.2">
      <c r="C24" s="24" t="s">
        <v>32</v>
      </c>
      <c r="D24" s="25">
        <v>0.3</v>
      </c>
      <c r="E24" s="26">
        <v>0.35</v>
      </c>
      <c r="H24" s="24" t="s">
        <v>32</v>
      </c>
      <c r="I24" s="25">
        <v>0.38</v>
      </c>
      <c r="J24" s="26">
        <v>0.4</v>
      </c>
    </row>
    <row r="25" spans="2:14" x14ac:dyDescent="0.2">
      <c r="D25" s="26">
        <f>D23*D24</f>
        <v>30</v>
      </c>
      <c r="E25" s="26">
        <f>E23*E24</f>
        <v>70</v>
      </c>
      <c r="F25" s="26">
        <f>D25+E25</f>
        <v>100</v>
      </c>
      <c r="I25" s="26">
        <f>I23*I24</f>
        <v>76</v>
      </c>
      <c r="J25" s="26">
        <f>J23*J24</f>
        <v>20</v>
      </c>
      <c r="K25" s="26">
        <f>I25+J25</f>
        <v>96</v>
      </c>
    </row>
    <row r="26" spans="2:14" x14ac:dyDescent="0.2">
      <c r="C26" s="27" t="s">
        <v>29</v>
      </c>
      <c r="F26" s="28">
        <f>F25/F23</f>
        <v>0.33333333333333331</v>
      </c>
      <c r="H26" s="114" t="s">
        <v>29</v>
      </c>
      <c r="I26" s="114"/>
      <c r="J26" s="114"/>
      <c r="K26" s="28">
        <f>K25/K23</f>
        <v>0.38400000000000001</v>
      </c>
    </row>
    <row r="28" spans="2:14" ht="21" x14ac:dyDescent="0.25">
      <c r="C28" s="115" t="s">
        <v>33</v>
      </c>
      <c r="D28" s="115"/>
    </row>
    <row r="29" spans="2:14" ht="21" x14ac:dyDescent="0.25">
      <c r="C29" s="29" t="s">
        <v>34</v>
      </c>
      <c r="D29" s="30">
        <v>125</v>
      </c>
    </row>
    <row r="30" spans="2:14" ht="21" x14ac:dyDescent="0.25">
      <c r="C30" s="29" t="s">
        <v>35</v>
      </c>
      <c r="D30" s="31">
        <v>330</v>
      </c>
    </row>
    <row r="31" spans="2:14" ht="21" x14ac:dyDescent="0.2">
      <c r="C31" s="32" t="s">
        <v>32</v>
      </c>
      <c r="D31" s="33">
        <f>D29/D30</f>
        <v>0.37878787878787878</v>
      </c>
    </row>
  </sheetData>
  <mergeCells count="10">
    <mergeCell ref="C22:F22"/>
    <mergeCell ref="H22:K22"/>
    <mergeCell ref="H26:J26"/>
    <mergeCell ref="C28:D28"/>
    <mergeCell ref="B3:N3"/>
    <mergeCell ref="B9:B10"/>
    <mergeCell ref="C9:D9"/>
    <mergeCell ref="E9:H9"/>
    <mergeCell ref="I9:K9"/>
    <mergeCell ref="L9:N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5978-C9F2-1043-B393-191A3275421F}">
  <dimension ref="B3:AC53"/>
  <sheetViews>
    <sheetView workbookViewId="0">
      <selection activeCell="I24" sqref="I24"/>
    </sheetView>
  </sheetViews>
  <sheetFormatPr baseColWidth="10" defaultRowHeight="16" x14ac:dyDescent="0.2"/>
  <cols>
    <col min="3" max="3" width="31.5" bestFit="1" customWidth="1"/>
    <col min="4" max="4" width="12.6640625" bestFit="1" customWidth="1"/>
    <col min="6" max="6" width="11" bestFit="1" customWidth="1"/>
    <col min="7" max="7" width="15.6640625" bestFit="1" customWidth="1"/>
    <col min="8" max="8" width="12.6640625" bestFit="1" customWidth="1"/>
    <col min="9" max="9" width="12.6640625" customWidth="1"/>
    <col min="10" max="10" width="9.6640625" bestFit="1" customWidth="1"/>
    <col min="11" max="11" width="15.6640625" bestFit="1" customWidth="1"/>
    <col min="12" max="12" width="12.6640625" bestFit="1" customWidth="1"/>
    <col min="13" max="13" width="12.6640625" customWidth="1"/>
    <col min="15" max="15" width="15.6640625" bestFit="1" customWidth="1"/>
    <col min="19" max="19" width="12.33203125" bestFit="1" customWidth="1"/>
  </cols>
  <sheetData>
    <row r="3" spans="2:29" ht="21" x14ac:dyDescent="0.25">
      <c r="B3" s="108" t="s">
        <v>60</v>
      </c>
      <c r="C3" s="108"/>
      <c r="D3" s="108"/>
      <c r="E3" s="108"/>
      <c r="F3" s="108"/>
      <c r="G3" s="108"/>
      <c r="H3" s="108"/>
      <c r="I3" s="108"/>
      <c r="J3" s="108"/>
      <c r="K3" s="108"/>
      <c r="L3" s="108"/>
      <c r="M3" s="108"/>
      <c r="N3" s="108"/>
      <c r="O3" s="108"/>
      <c r="P3" s="108"/>
      <c r="Q3" s="34"/>
      <c r="R3" s="34"/>
    </row>
    <row r="4" spans="2:29" ht="16" customHeight="1" x14ac:dyDescent="0.25">
      <c r="B4" s="34"/>
      <c r="C4" s="34"/>
      <c r="D4" s="34"/>
      <c r="E4" s="34"/>
      <c r="F4" s="34"/>
      <c r="G4" s="34"/>
      <c r="H4" s="34"/>
      <c r="I4" s="34"/>
      <c r="J4" s="34"/>
      <c r="K4" s="34"/>
      <c r="L4" s="34"/>
      <c r="M4" s="34"/>
      <c r="N4" s="34"/>
      <c r="O4" s="34"/>
      <c r="P4" s="34"/>
    </row>
    <row r="8" spans="2:29" ht="17" thickBot="1" x14ac:dyDescent="0.25"/>
    <row r="9" spans="2:29" ht="30" customHeight="1" x14ac:dyDescent="0.2">
      <c r="B9" s="128" t="s">
        <v>37</v>
      </c>
      <c r="C9" s="129"/>
      <c r="D9" s="129"/>
      <c r="E9" s="129"/>
      <c r="F9" s="129"/>
      <c r="G9" s="130"/>
      <c r="H9" s="128" t="s">
        <v>40</v>
      </c>
      <c r="I9" s="129"/>
      <c r="J9" s="129"/>
      <c r="K9" s="129"/>
      <c r="L9" s="129"/>
      <c r="M9" s="129"/>
      <c r="N9" s="129"/>
      <c r="O9" s="129"/>
      <c r="P9" s="130"/>
      <c r="R9" s="125" t="s">
        <v>47</v>
      </c>
      <c r="S9" s="126"/>
      <c r="T9" s="126"/>
      <c r="U9" s="126"/>
      <c r="V9" s="126"/>
      <c r="W9" s="126"/>
      <c r="X9" s="127"/>
      <c r="Y9" s="64"/>
      <c r="Z9" s="64"/>
      <c r="AA9" s="64"/>
      <c r="AB9" s="64"/>
      <c r="AC9" s="64"/>
    </row>
    <row r="10" spans="2:29" x14ac:dyDescent="0.2">
      <c r="B10" s="153" t="s">
        <v>1</v>
      </c>
      <c r="C10" s="153" t="s">
        <v>2</v>
      </c>
      <c r="D10" s="153"/>
      <c r="E10" s="137" t="s">
        <v>3</v>
      </c>
      <c r="F10" s="138"/>
      <c r="G10" s="138"/>
      <c r="H10" s="138"/>
      <c r="I10" s="139"/>
      <c r="J10" s="155" t="s">
        <v>4</v>
      </c>
      <c r="K10" s="155"/>
      <c r="L10" s="155"/>
      <c r="M10" s="36"/>
      <c r="N10" s="156" t="s">
        <v>5</v>
      </c>
      <c r="O10" s="156"/>
      <c r="P10" s="156"/>
      <c r="R10" s="65" t="s">
        <v>1</v>
      </c>
      <c r="S10" s="37" t="s">
        <v>48</v>
      </c>
      <c r="T10" s="65" t="s">
        <v>49</v>
      </c>
      <c r="U10" s="65" t="s">
        <v>50</v>
      </c>
      <c r="V10" s="65" t="s">
        <v>51</v>
      </c>
      <c r="W10" s="65" t="s">
        <v>52</v>
      </c>
      <c r="X10" s="65" t="s">
        <v>53</v>
      </c>
      <c r="Z10" s="60"/>
      <c r="AA10" s="61"/>
      <c r="AB10" s="61"/>
      <c r="AC10" s="61"/>
    </row>
    <row r="11" spans="2:29" x14ac:dyDescent="0.2">
      <c r="B11" s="109"/>
      <c r="C11" s="1" t="s">
        <v>6</v>
      </c>
      <c r="D11" s="1" t="s">
        <v>7</v>
      </c>
      <c r="E11" s="2" t="s">
        <v>8</v>
      </c>
      <c r="F11" s="2" t="s">
        <v>9</v>
      </c>
      <c r="G11" s="2" t="s">
        <v>10</v>
      </c>
      <c r="H11" s="2" t="s">
        <v>11</v>
      </c>
      <c r="I11" s="2" t="s">
        <v>55</v>
      </c>
      <c r="J11" s="3" t="s">
        <v>8</v>
      </c>
      <c r="K11" s="3" t="s">
        <v>10</v>
      </c>
      <c r="L11" s="3" t="s">
        <v>11</v>
      </c>
      <c r="M11" s="3" t="s">
        <v>57</v>
      </c>
      <c r="N11" s="4" t="s">
        <v>8</v>
      </c>
      <c r="O11" s="4" t="s">
        <v>10</v>
      </c>
      <c r="P11" s="4" t="s">
        <v>12</v>
      </c>
      <c r="R11" s="66">
        <v>45303</v>
      </c>
      <c r="S11" s="67">
        <f>H14*0.05</f>
        <v>57.5</v>
      </c>
      <c r="T11" s="67">
        <v>0</v>
      </c>
      <c r="U11" s="67">
        <f>6.2/3</f>
        <v>2.0666666666666669</v>
      </c>
      <c r="V11" s="69">
        <f>9.4/3</f>
        <v>3.1333333333333333</v>
      </c>
      <c r="W11" s="67">
        <f>18.6/3</f>
        <v>6.2</v>
      </c>
      <c r="X11" s="68">
        <f>SUM(S11:W11)</f>
        <v>68.900000000000006</v>
      </c>
      <c r="Z11" s="60"/>
      <c r="AA11" s="62"/>
      <c r="AB11" s="63"/>
      <c r="AC11" s="61"/>
    </row>
    <row r="12" spans="2:29" x14ac:dyDescent="0.2">
      <c r="B12" s="55">
        <v>45292</v>
      </c>
      <c r="C12" s="6" t="s">
        <v>42</v>
      </c>
      <c r="D12" s="1"/>
      <c r="E12" s="56">
        <v>1500</v>
      </c>
      <c r="F12" s="8"/>
      <c r="G12" s="9">
        <v>4.5</v>
      </c>
      <c r="H12" s="10">
        <f>E12*G12</f>
        <v>6750</v>
      </c>
      <c r="I12" s="10"/>
      <c r="J12" s="11"/>
      <c r="K12" s="12"/>
      <c r="L12" s="12"/>
      <c r="M12" s="12"/>
      <c r="N12" s="14">
        <v>1500</v>
      </c>
      <c r="O12" s="15">
        <v>4.5</v>
      </c>
      <c r="P12" s="15">
        <v>6750</v>
      </c>
      <c r="R12" s="75">
        <v>45307</v>
      </c>
      <c r="S12" s="76">
        <f>H16*0.07</f>
        <v>65.800000000000011</v>
      </c>
      <c r="T12" s="76">
        <f>H16*0.21</f>
        <v>197.4</v>
      </c>
      <c r="U12" s="76">
        <f>18.4/3</f>
        <v>6.1333333333333329</v>
      </c>
      <c r="V12" s="77">
        <f>9.3/3</f>
        <v>3.1</v>
      </c>
      <c r="W12" s="76">
        <f>24.2/3</f>
        <v>8.0666666666666664</v>
      </c>
      <c r="X12" s="76">
        <f>SUM(S12:W12)</f>
        <v>280.50000000000006</v>
      </c>
      <c r="Y12" s="26"/>
      <c r="Z12" s="61"/>
      <c r="AA12" s="63"/>
      <c r="AB12" s="63"/>
      <c r="AC12" s="63"/>
    </row>
    <row r="13" spans="2:29" x14ac:dyDescent="0.2">
      <c r="B13" s="55">
        <v>45298</v>
      </c>
      <c r="C13" s="6" t="s">
        <v>44</v>
      </c>
      <c r="D13" s="1"/>
      <c r="E13" s="8"/>
      <c r="F13" s="8"/>
      <c r="G13" s="9"/>
      <c r="H13" s="10"/>
      <c r="I13" s="10"/>
      <c r="J13" s="11">
        <v>500</v>
      </c>
      <c r="K13" s="12">
        <v>4.5</v>
      </c>
      <c r="L13" s="12">
        <f>J13*K13</f>
        <v>2250</v>
      </c>
      <c r="M13" s="12"/>
      <c r="N13" s="14">
        <f>N12-J13</f>
        <v>1000</v>
      </c>
      <c r="O13" s="15">
        <v>4.5</v>
      </c>
      <c r="P13" s="15">
        <f>P12-L13</f>
        <v>4500</v>
      </c>
      <c r="R13" s="122" t="s">
        <v>56</v>
      </c>
      <c r="S13" s="122"/>
      <c r="T13" s="122"/>
      <c r="U13" s="122"/>
      <c r="V13" s="122"/>
      <c r="W13" s="122"/>
      <c r="X13" s="122"/>
      <c r="Z13" s="61"/>
      <c r="AA13" s="61"/>
      <c r="AB13" s="61"/>
      <c r="AC13" s="63"/>
    </row>
    <row r="14" spans="2:29" x14ac:dyDescent="0.2">
      <c r="B14" s="55">
        <v>45303</v>
      </c>
      <c r="C14" s="6" t="s">
        <v>46</v>
      </c>
      <c r="D14" s="1"/>
      <c r="E14" s="56">
        <v>250</v>
      </c>
      <c r="F14" s="8"/>
      <c r="G14" s="9">
        <v>4.5999999999999996</v>
      </c>
      <c r="H14" s="10">
        <f>E14*G14</f>
        <v>1150</v>
      </c>
      <c r="I14" s="10">
        <f>H14+X11</f>
        <v>1218.9000000000001</v>
      </c>
      <c r="J14" s="11"/>
      <c r="K14" s="12"/>
      <c r="L14" s="12"/>
      <c r="M14" s="12"/>
      <c r="N14" s="14">
        <f>N13+E14</f>
        <v>1250</v>
      </c>
      <c r="O14" s="15">
        <f>P14/N14</f>
        <v>4.5751200000000001</v>
      </c>
      <c r="P14" s="15">
        <f>P13+I14</f>
        <v>5718.9</v>
      </c>
      <c r="R14" s="70">
        <v>45308</v>
      </c>
      <c r="S14" s="26">
        <f>L17*0.1</f>
        <v>57.7</v>
      </c>
      <c r="T14" s="26">
        <f>L17*0.21</f>
        <v>121.17</v>
      </c>
    </row>
    <row r="15" spans="2:29" x14ac:dyDescent="0.2">
      <c r="B15" s="55">
        <v>45306</v>
      </c>
      <c r="C15" s="6" t="s">
        <v>44</v>
      </c>
      <c r="D15" s="1"/>
      <c r="E15" s="8"/>
      <c r="F15" s="7"/>
      <c r="G15" s="10"/>
      <c r="H15" s="10"/>
      <c r="I15" s="10"/>
      <c r="J15" s="11">
        <v>300</v>
      </c>
      <c r="K15" s="16">
        <v>4.58</v>
      </c>
      <c r="L15" s="12">
        <f>J15+K15</f>
        <v>304.58</v>
      </c>
      <c r="M15" s="12"/>
      <c r="N15" s="14">
        <f>N14-J15</f>
        <v>950</v>
      </c>
      <c r="O15" s="15">
        <f>P15/N15</f>
        <v>5.6992842105263151</v>
      </c>
      <c r="P15" s="15">
        <f>P14-L15</f>
        <v>5414.32</v>
      </c>
    </row>
    <row r="16" spans="2:29" x14ac:dyDescent="0.2">
      <c r="B16" s="55">
        <v>45307</v>
      </c>
      <c r="C16" s="6" t="s">
        <v>46</v>
      </c>
      <c r="D16" s="1"/>
      <c r="E16" s="7">
        <v>200</v>
      </c>
      <c r="F16" s="7"/>
      <c r="G16" s="10">
        <v>4.7</v>
      </c>
      <c r="H16" s="10">
        <f>E16*G16</f>
        <v>940</v>
      </c>
      <c r="I16" s="10">
        <f>H16+X12</f>
        <v>1220.5</v>
      </c>
      <c r="J16" s="11"/>
      <c r="K16" s="16"/>
      <c r="L16" s="12"/>
      <c r="M16" s="12"/>
      <c r="N16" s="14">
        <f>N15+E16</f>
        <v>1150</v>
      </c>
      <c r="O16" s="15">
        <f>P16/N16</f>
        <v>5.7694086956521735</v>
      </c>
      <c r="P16" s="15">
        <f>P15+I16</f>
        <v>6634.82</v>
      </c>
    </row>
    <row r="17" spans="2:24" x14ac:dyDescent="0.2">
      <c r="B17" s="55">
        <v>45308</v>
      </c>
      <c r="C17" s="6" t="s">
        <v>44</v>
      </c>
      <c r="D17" s="1"/>
      <c r="E17" s="7"/>
      <c r="F17" s="7"/>
      <c r="G17" s="10"/>
      <c r="H17" s="10"/>
      <c r="I17" s="10"/>
      <c r="J17" s="11">
        <v>100</v>
      </c>
      <c r="K17" s="71">
        <v>5.77</v>
      </c>
      <c r="L17" s="72">
        <f>J17*K17</f>
        <v>577</v>
      </c>
      <c r="M17" s="72">
        <f>L17-S14+T14</f>
        <v>640.46999999999991</v>
      </c>
      <c r="N17" s="14">
        <f>N16-J17</f>
        <v>1050</v>
      </c>
      <c r="O17" s="15">
        <f>P17/N17</f>
        <v>5.708904761904761</v>
      </c>
      <c r="P17" s="15">
        <f>P16-M17</f>
        <v>5994.3499999999995</v>
      </c>
    </row>
    <row r="18" spans="2:24" x14ac:dyDescent="0.2">
      <c r="B18" s="55">
        <v>45319</v>
      </c>
      <c r="C18" s="6" t="s">
        <v>44</v>
      </c>
      <c r="D18" s="1"/>
      <c r="E18" s="7"/>
      <c r="F18" s="8"/>
      <c r="G18" s="10"/>
      <c r="H18" s="10"/>
      <c r="I18" s="10"/>
      <c r="J18" s="11">
        <v>1050</v>
      </c>
      <c r="K18" s="16">
        <v>5.71</v>
      </c>
      <c r="L18" s="12">
        <f>J18*K18</f>
        <v>5995.5</v>
      </c>
      <c r="M18" s="12"/>
      <c r="N18" s="14">
        <f>N17-J18</f>
        <v>0</v>
      </c>
      <c r="O18" s="15"/>
      <c r="P18" s="15">
        <f>P17-L18</f>
        <v>-1.1500000000005457</v>
      </c>
    </row>
    <row r="19" spans="2:24" x14ac:dyDescent="0.2">
      <c r="B19" s="6"/>
      <c r="C19" s="6"/>
      <c r="D19" s="1"/>
      <c r="E19" s="7"/>
      <c r="F19" s="7"/>
      <c r="G19" s="9"/>
      <c r="H19" s="10"/>
      <c r="I19" s="10"/>
      <c r="J19" s="11"/>
      <c r="K19" s="12"/>
      <c r="L19" s="12"/>
      <c r="M19" s="12"/>
      <c r="N19" s="14"/>
      <c r="O19" s="15"/>
      <c r="P19" s="15"/>
    </row>
    <row r="20" spans="2:24" x14ac:dyDescent="0.2">
      <c r="B20" s="6"/>
      <c r="C20" s="6"/>
      <c r="D20" s="1"/>
      <c r="E20" s="8"/>
      <c r="F20" s="8"/>
      <c r="G20" s="9"/>
      <c r="H20" s="10"/>
      <c r="I20" s="10"/>
      <c r="J20" s="11"/>
      <c r="K20" s="12"/>
      <c r="L20" s="12"/>
      <c r="M20" s="12"/>
      <c r="N20" s="14"/>
      <c r="O20" s="15"/>
      <c r="P20" s="15"/>
    </row>
    <row r="21" spans="2:24" x14ac:dyDescent="0.2">
      <c r="B21" s="6"/>
      <c r="C21" s="6"/>
      <c r="D21" s="6"/>
      <c r="E21" s="8"/>
      <c r="F21" s="8"/>
      <c r="G21" s="10"/>
      <c r="H21" s="10"/>
      <c r="I21" s="10"/>
      <c r="J21" s="11"/>
      <c r="K21" s="16"/>
      <c r="L21" s="12"/>
      <c r="M21" s="12"/>
      <c r="N21" s="14"/>
      <c r="O21" s="15"/>
      <c r="P21" s="15"/>
    </row>
    <row r="24" spans="2:24" ht="17" thickBot="1" x14ac:dyDescent="0.25"/>
    <row r="25" spans="2:24" x14ac:dyDescent="0.2">
      <c r="B25" s="131" t="s">
        <v>38</v>
      </c>
      <c r="C25" s="132"/>
      <c r="D25" s="132"/>
      <c r="E25" s="132"/>
      <c r="F25" s="132"/>
      <c r="G25" s="133"/>
      <c r="H25" s="131" t="s">
        <v>41</v>
      </c>
      <c r="I25" s="132"/>
      <c r="J25" s="132"/>
      <c r="K25" s="132"/>
      <c r="L25" s="132"/>
      <c r="M25" s="132"/>
      <c r="N25" s="132"/>
      <c r="O25" s="132"/>
      <c r="P25" s="133"/>
      <c r="R25" s="116" t="s">
        <v>47</v>
      </c>
      <c r="S25" s="117"/>
      <c r="T25" s="117"/>
      <c r="U25" s="117"/>
      <c r="V25" s="117"/>
      <c r="W25" s="117"/>
      <c r="X25" s="118"/>
    </row>
    <row r="26" spans="2:24" x14ac:dyDescent="0.2">
      <c r="B26" s="153" t="s">
        <v>1</v>
      </c>
      <c r="C26" s="153" t="s">
        <v>2</v>
      </c>
      <c r="D26" s="153"/>
      <c r="E26" s="154" t="s">
        <v>3</v>
      </c>
      <c r="F26" s="154"/>
      <c r="G26" s="154"/>
      <c r="H26" s="154"/>
      <c r="I26" s="35"/>
      <c r="J26" s="155" t="s">
        <v>4</v>
      </c>
      <c r="K26" s="155"/>
      <c r="L26" s="155"/>
      <c r="M26" s="36"/>
      <c r="N26" s="156" t="s">
        <v>5</v>
      </c>
      <c r="O26" s="156"/>
      <c r="P26" s="156"/>
      <c r="R26" s="65" t="s">
        <v>1</v>
      </c>
      <c r="S26" s="37" t="s">
        <v>48</v>
      </c>
      <c r="T26" s="65" t="s">
        <v>49</v>
      </c>
      <c r="U26" s="65" t="s">
        <v>50</v>
      </c>
      <c r="V26" s="65" t="s">
        <v>51</v>
      </c>
      <c r="W26" s="65" t="s">
        <v>52</v>
      </c>
      <c r="X26" s="65" t="s">
        <v>53</v>
      </c>
    </row>
    <row r="27" spans="2:24" x14ac:dyDescent="0.2">
      <c r="B27" s="109"/>
      <c r="C27" s="1" t="s">
        <v>6</v>
      </c>
      <c r="D27" s="1" t="s">
        <v>7</v>
      </c>
      <c r="E27" s="2" t="s">
        <v>8</v>
      </c>
      <c r="F27" s="2" t="s">
        <v>9</v>
      </c>
      <c r="G27" s="2" t="s">
        <v>10</v>
      </c>
      <c r="H27" s="2" t="s">
        <v>11</v>
      </c>
      <c r="I27" s="2" t="s">
        <v>55</v>
      </c>
      <c r="J27" s="3" t="s">
        <v>8</v>
      </c>
      <c r="K27" s="3" t="s">
        <v>10</v>
      </c>
      <c r="L27" s="3" t="s">
        <v>11</v>
      </c>
      <c r="M27" s="3" t="s">
        <v>58</v>
      </c>
      <c r="N27" s="4" t="s">
        <v>8</v>
      </c>
      <c r="O27" s="4" t="s">
        <v>10</v>
      </c>
      <c r="P27" s="4" t="s">
        <v>12</v>
      </c>
      <c r="R27" s="66">
        <v>45303</v>
      </c>
      <c r="S27" s="67">
        <f>H30*0.05</f>
        <v>65</v>
      </c>
      <c r="T27" s="67">
        <v>0</v>
      </c>
      <c r="U27" s="67">
        <f>6.2/3</f>
        <v>2.0666666666666669</v>
      </c>
      <c r="V27" s="69">
        <f>9.4/3</f>
        <v>3.1333333333333333</v>
      </c>
      <c r="W27" s="67">
        <f>18.6/3</f>
        <v>6.2</v>
      </c>
      <c r="X27" s="68">
        <f>SUM(S27:W27)</f>
        <v>76.400000000000006</v>
      </c>
    </row>
    <row r="28" spans="2:24" x14ac:dyDescent="0.2">
      <c r="B28" s="55">
        <v>45292</v>
      </c>
      <c r="C28" s="6" t="s">
        <v>23</v>
      </c>
      <c r="D28" s="1"/>
      <c r="E28" s="56">
        <v>2000</v>
      </c>
      <c r="F28" s="8">
        <f>1850-500-J33-J34</f>
        <v>730</v>
      </c>
      <c r="G28" s="9">
        <v>4.08</v>
      </c>
      <c r="H28" s="10">
        <f>E28*G28</f>
        <v>8160</v>
      </c>
      <c r="I28" s="10"/>
      <c r="J28" s="11"/>
      <c r="K28" s="12"/>
      <c r="L28" s="12"/>
      <c r="M28" s="12"/>
      <c r="N28" s="14">
        <v>2000</v>
      </c>
      <c r="O28" s="15">
        <v>4.08</v>
      </c>
      <c r="P28" s="15">
        <v>8160</v>
      </c>
      <c r="R28" s="75">
        <v>45307</v>
      </c>
      <c r="S28" s="76">
        <f>H32*0.07</f>
        <v>102.9</v>
      </c>
      <c r="T28" s="76">
        <f>H32*0.21</f>
        <v>308.7</v>
      </c>
      <c r="U28" s="76">
        <f>18.4/3</f>
        <v>6.1333333333333329</v>
      </c>
      <c r="V28" s="77">
        <f>9.3/3</f>
        <v>3.1</v>
      </c>
      <c r="W28" s="76">
        <f>24.2/3</f>
        <v>8.0666666666666664</v>
      </c>
      <c r="X28" s="76">
        <f>SUM(S28:W28)</f>
        <v>428.90000000000003</v>
      </c>
    </row>
    <row r="29" spans="2:24" x14ac:dyDescent="0.2">
      <c r="B29" s="55">
        <v>45301</v>
      </c>
      <c r="C29" s="6" t="s">
        <v>45</v>
      </c>
      <c r="D29" s="1"/>
      <c r="E29" s="8"/>
      <c r="F29" s="8"/>
      <c r="G29" s="9"/>
      <c r="H29" s="10"/>
      <c r="I29" s="10"/>
      <c r="J29" s="11">
        <v>150</v>
      </c>
      <c r="K29" s="12">
        <v>4.08</v>
      </c>
      <c r="L29" s="12">
        <f>J29*K29</f>
        <v>612</v>
      </c>
      <c r="M29" s="12"/>
      <c r="N29" s="14">
        <f>N28-J29</f>
        <v>1850</v>
      </c>
      <c r="O29" s="15">
        <v>4.08</v>
      </c>
      <c r="P29" s="15">
        <f>P28-L29</f>
        <v>7548</v>
      </c>
      <c r="R29" s="123" t="s">
        <v>56</v>
      </c>
      <c r="S29" s="123"/>
      <c r="T29" s="123"/>
      <c r="U29" s="123"/>
      <c r="V29" s="123"/>
      <c r="W29" s="123"/>
      <c r="X29" s="123"/>
    </row>
    <row r="30" spans="2:24" x14ac:dyDescent="0.2">
      <c r="B30" s="55">
        <v>45303</v>
      </c>
      <c r="C30" s="6" t="s">
        <v>46</v>
      </c>
      <c r="D30" s="1"/>
      <c r="E30" s="56">
        <v>250</v>
      </c>
      <c r="F30" s="8"/>
      <c r="G30" s="9">
        <v>5.2</v>
      </c>
      <c r="H30" s="10">
        <f>E30*G30</f>
        <v>1300</v>
      </c>
      <c r="I30" s="10">
        <f>H30+X27</f>
        <v>1376.4</v>
      </c>
      <c r="J30" s="11"/>
      <c r="K30" s="12"/>
      <c r="L30" s="12"/>
      <c r="M30" s="12"/>
      <c r="N30" s="14">
        <f>N29+E30</f>
        <v>2100</v>
      </c>
      <c r="O30" s="15">
        <v>5.2</v>
      </c>
      <c r="P30" s="15">
        <f>P29+I30</f>
        <v>8924.4</v>
      </c>
      <c r="R30" s="70">
        <v>45308</v>
      </c>
      <c r="S30" s="26">
        <f>L33*0.1</f>
        <v>48.960000000000008</v>
      </c>
      <c r="T30" s="26">
        <f>L33*0.21</f>
        <v>102.816</v>
      </c>
    </row>
    <row r="31" spans="2:24" x14ac:dyDescent="0.2">
      <c r="B31" s="55">
        <v>45306</v>
      </c>
      <c r="C31" s="6" t="s">
        <v>45</v>
      </c>
      <c r="D31" s="1"/>
      <c r="E31" s="8"/>
      <c r="F31" s="7"/>
      <c r="G31" s="10"/>
      <c r="H31" s="10"/>
      <c r="I31" s="10"/>
      <c r="J31" s="11">
        <v>500</v>
      </c>
      <c r="K31" s="16">
        <v>4.08</v>
      </c>
      <c r="L31" s="12">
        <f>J31*K31</f>
        <v>2040</v>
      </c>
      <c r="M31" s="12"/>
      <c r="N31" s="14">
        <f>N30-J31</f>
        <v>1600</v>
      </c>
      <c r="O31" s="15">
        <v>4.08</v>
      </c>
      <c r="P31" s="15">
        <f>P30-L31</f>
        <v>6884.4</v>
      </c>
    </row>
    <row r="32" spans="2:24" x14ac:dyDescent="0.2">
      <c r="B32" s="55">
        <v>45307</v>
      </c>
      <c r="C32" s="6" t="s">
        <v>46</v>
      </c>
      <c r="D32" s="1"/>
      <c r="E32" s="7">
        <v>300</v>
      </c>
      <c r="F32" s="7"/>
      <c r="G32" s="10">
        <v>4.9000000000000004</v>
      </c>
      <c r="H32" s="10">
        <f>E32*G32</f>
        <v>1470</v>
      </c>
      <c r="I32" s="10">
        <f>H32+X28</f>
        <v>1898.9</v>
      </c>
      <c r="J32" s="11"/>
      <c r="K32" s="16"/>
      <c r="L32" s="12"/>
      <c r="M32" s="12"/>
      <c r="N32" s="14">
        <f>N31+E32</f>
        <v>1900</v>
      </c>
      <c r="O32" s="15">
        <v>4.9000000000000004</v>
      </c>
      <c r="P32" s="15">
        <f>P31+I32</f>
        <v>8783.2999999999993</v>
      </c>
    </row>
    <row r="33" spans="2:24" x14ac:dyDescent="0.2">
      <c r="B33" s="55">
        <v>45308</v>
      </c>
      <c r="C33" s="6" t="s">
        <v>45</v>
      </c>
      <c r="D33" s="1"/>
      <c r="E33" s="7"/>
      <c r="F33" s="7"/>
      <c r="G33" s="10"/>
      <c r="H33" s="10"/>
      <c r="I33" s="10"/>
      <c r="J33" s="11">
        <v>120</v>
      </c>
      <c r="K33" s="71">
        <v>4.08</v>
      </c>
      <c r="L33" s="72">
        <f>J33*K33</f>
        <v>489.6</v>
      </c>
      <c r="M33" s="72">
        <f>L33-S30+T30</f>
        <v>543.45600000000002</v>
      </c>
      <c r="N33" s="14">
        <f>N32-J33</f>
        <v>1780</v>
      </c>
      <c r="O33" s="15">
        <v>4.08</v>
      </c>
      <c r="P33" s="15">
        <f>P32-M33</f>
        <v>8239.8439999999991</v>
      </c>
    </row>
    <row r="34" spans="2:24" x14ac:dyDescent="0.2">
      <c r="B34" s="55">
        <v>45319</v>
      </c>
      <c r="C34" s="6" t="s">
        <v>45</v>
      </c>
      <c r="D34" s="1"/>
      <c r="E34" s="7"/>
      <c r="F34" s="8"/>
      <c r="G34" s="10"/>
      <c r="H34" s="10"/>
      <c r="I34" s="10"/>
      <c r="J34" s="11">
        <v>500</v>
      </c>
      <c r="K34" s="16">
        <v>4.08</v>
      </c>
      <c r="L34" s="12">
        <f>J34*K34</f>
        <v>2040</v>
      </c>
      <c r="M34" s="12"/>
      <c r="N34" s="14">
        <f>N33-J34</f>
        <v>1280</v>
      </c>
      <c r="O34" s="15">
        <v>4.08</v>
      </c>
      <c r="P34" s="15">
        <f>P33-L34</f>
        <v>6199.8439999999991</v>
      </c>
    </row>
    <row r="35" spans="2:24" x14ac:dyDescent="0.2">
      <c r="B35" s="6"/>
      <c r="C35" s="6"/>
      <c r="D35" s="1"/>
      <c r="E35" s="7"/>
      <c r="F35" s="7"/>
      <c r="G35" s="9"/>
      <c r="H35" s="10"/>
      <c r="I35" s="10"/>
      <c r="J35" s="11"/>
      <c r="K35" s="12"/>
      <c r="L35" s="12"/>
      <c r="M35" s="12"/>
      <c r="N35" s="14"/>
      <c r="O35" s="15"/>
      <c r="P35" s="15"/>
    </row>
    <row r="36" spans="2:24" x14ac:dyDescent="0.2">
      <c r="B36" s="6"/>
      <c r="C36" s="6"/>
      <c r="D36" s="1"/>
      <c r="E36" s="8"/>
      <c r="F36" s="8"/>
      <c r="G36" s="9"/>
      <c r="H36" s="10"/>
      <c r="I36" s="10"/>
      <c r="J36" s="11"/>
      <c r="K36" s="12"/>
      <c r="L36" s="12"/>
      <c r="M36" s="12"/>
      <c r="N36" s="14"/>
      <c r="O36" s="15"/>
      <c r="P36" s="15"/>
    </row>
    <row r="37" spans="2:24" x14ac:dyDescent="0.2">
      <c r="B37" s="6"/>
      <c r="C37" s="6"/>
      <c r="D37" s="6"/>
      <c r="E37" s="8"/>
      <c r="F37" s="8"/>
      <c r="G37" s="10"/>
      <c r="H37" s="10"/>
      <c r="I37" s="10"/>
      <c r="J37" s="11"/>
      <c r="K37" s="16"/>
      <c r="L37" s="12"/>
      <c r="M37" s="12"/>
      <c r="N37" s="14"/>
      <c r="O37" s="15"/>
      <c r="P37" s="15"/>
    </row>
    <row r="40" spans="2:24" ht="17" thickBot="1" x14ac:dyDescent="0.25"/>
    <row r="41" spans="2:24" x14ac:dyDescent="0.2">
      <c r="B41" s="134" t="s">
        <v>39</v>
      </c>
      <c r="C41" s="135"/>
      <c r="D41" s="135"/>
      <c r="E41" s="135"/>
      <c r="F41" s="135"/>
      <c r="G41" s="135"/>
      <c r="H41" s="135" t="s">
        <v>41</v>
      </c>
      <c r="I41" s="135"/>
      <c r="J41" s="135"/>
      <c r="K41" s="135"/>
      <c r="L41" s="135"/>
      <c r="M41" s="135"/>
      <c r="N41" s="135"/>
      <c r="O41" s="135"/>
      <c r="P41" s="136"/>
      <c r="R41" s="119" t="s">
        <v>47</v>
      </c>
      <c r="S41" s="120"/>
      <c r="T41" s="120"/>
      <c r="U41" s="120"/>
      <c r="V41" s="120"/>
      <c r="W41" s="120"/>
      <c r="X41" s="121"/>
    </row>
    <row r="42" spans="2:24" x14ac:dyDescent="0.2">
      <c r="B42" s="140" t="s">
        <v>1</v>
      </c>
      <c r="C42" s="142" t="s">
        <v>2</v>
      </c>
      <c r="D42" s="143"/>
      <c r="E42" s="144" t="s">
        <v>3</v>
      </c>
      <c r="F42" s="145"/>
      <c r="G42" s="145"/>
      <c r="H42" s="146"/>
      <c r="I42" s="53"/>
      <c r="J42" s="147" t="s">
        <v>4</v>
      </c>
      <c r="K42" s="148"/>
      <c r="L42" s="149"/>
      <c r="M42" s="54"/>
      <c r="N42" s="150" t="s">
        <v>5</v>
      </c>
      <c r="O42" s="151"/>
      <c r="P42" s="152"/>
      <c r="R42" s="65" t="s">
        <v>1</v>
      </c>
      <c r="S42" s="37" t="s">
        <v>48</v>
      </c>
      <c r="T42" s="65" t="s">
        <v>49</v>
      </c>
      <c r="U42" s="65" t="s">
        <v>50</v>
      </c>
      <c r="V42" s="65" t="s">
        <v>51</v>
      </c>
      <c r="W42" s="65" t="s">
        <v>52</v>
      </c>
      <c r="X42" s="65" t="s">
        <v>53</v>
      </c>
    </row>
    <row r="43" spans="2:24" x14ac:dyDescent="0.2">
      <c r="B43" s="141"/>
      <c r="C43" s="38" t="s">
        <v>6</v>
      </c>
      <c r="D43" s="38" t="s">
        <v>7</v>
      </c>
      <c r="E43" s="39" t="s">
        <v>8</v>
      </c>
      <c r="F43" s="39" t="s">
        <v>9</v>
      </c>
      <c r="G43" s="39" t="s">
        <v>10</v>
      </c>
      <c r="H43" s="39" t="s">
        <v>11</v>
      </c>
      <c r="I43" s="2" t="s">
        <v>55</v>
      </c>
      <c r="J43" s="40" t="s">
        <v>8</v>
      </c>
      <c r="K43" s="40" t="s">
        <v>10</v>
      </c>
      <c r="L43" s="40" t="s">
        <v>11</v>
      </c>
      <c r="M43" s="40" t="s">
        <v>57</v>
      </c>
      <c r="N43" s="41" t="s">
        <v>8</v>
      </c>
      <c r="O43" s="41" t="s">
        <v>10</v>
      </c>
      <c r="P43" s="41" t="s">
        <v>12</v>
      </c>
      <c r="R43" s="66">
        <v>45303</v>
      </c>
      <c r="S43" s="67">
        <f>H45*0.05</f>
        <v>13.25</v>
      </c>
      <c r="T43" s="67">
        <v>0</v>
      </c>
      <c r="U43" s="67">
        <f>6.2/3</f>
        <v>2.0666666666666669</v>
      </c>
      <c r="V43" s="69">
        <f>9.4/3</f>
        <v>3.1333333333333333</v>
      </c>
      <c r="W43" s="67">
        <f>18.6/3</f>
        <v>6.2</v>
      </c>
      <c r="X43" s="68">
        <f>SUM(S43:W43)</f>
        <v>24.65</v>
      </c>
    </row>
    <row r="44" spans="2:24" x14ac:dyDescent="0.2">
      <c r="B44" s="58">
        <v>45292</v>
      </c>
      <c r="C44" s="42" t="s">
        <v>43</v>
      </c>
      <c r="D44" s="38"/>
      <c r="E44" s="59">
        <v>2500</v>
      </c>
      <c r="F44" s="43">
        <f>2500-500-150-650</f>
        <v>1200</v>
      </c>
      <c r="G44" s="44">
        <v>5.2</v>
      </c>
      <c r="H44" s="45">
        <f>E44*G44</f>
        <v>13000</v>
      </c>
      <c r="I44" s="45"/>
      <c r="J44" s="46"/>
      <c r="K44" s="47"/>
      <c r="L44" s="47"/>
      <c r="M44" s="47"/>
      <c r="N44" s="48">
        <v>2500</v>
      </c>
      <c r="O44" s="49">
        <v>5.2</v>
      </c>
      <c r="P44" s="49">
        <v>13000</v>
      </c>
      <c r="R44" s="75">
        <v>45307</v>
      </c>
      <c r="S44" s="76">
        <f>H47*0.07</f>
        <v>127.4</v>
      </c>
      <c r="T44" s="76">
        <f>H47*0.21</f>
        <v>382.2</v>
      </c>
      <c r="U44" s="76">
        <f>18.4/3</f>
        <v>6.1333333333333329</v>
      </c>
      <c r="V44" s="77">
        <f>9.3/3</f>
        <v>3.1</v>
      </c>
      <c r="W44" s="76">
        <f>24.2/3</f>
        <v>8.0666666666666664</v>
      </c>
      <c r="X44" s="76">
        <f>SUM(S44:W44)</f>
        <v>526.90000000000009</v>
      </c>
    </row>
    <row r="45" spans="2:24" x14ac:dyDescent="0.2">
      <c r="B45" s="58">
        <v>45303</v>
      </c>
      <c r="C45" s="42" t="s">
        <v>46</v>
      </c>
      <c r="D45" s="38"/>
      <c r="E45" s="59">
        <v>50</v>
      </c>
      <c r="F45" s="43"/>
      <c r="G45" s="44">
        <v>5.3</v>
      </c>
      <c r="H45" s="45">
        <f>E45*G45</f>
        <v>265</v>
      </c>
      <c r="I45" s="45">
        <f>H45+X43</f>
        <v>289.64999999999998</v>
      </c>
      <c r="J45" s="46"/>
      <c r="K45" s="47"/>
      <c r="L45" s="47"/>
      <c r="M45" s="47"/>
      <c r="N45" s="48">
        <f>N44+E45</f>
        <v>2550</v>
      </c>
      <c r="O45" s="49">
        <f>P45/N45</f>
        <v>5.2116274509803917</v>
      </c>
      <c r="P45" s="49">
        <f>P44+I45</f>
        <v>13289.65</v>
      </c>
      <c r="R45" s="124" t="s">
        <v>56</v>
      </c>
      <c r="S45" s="124"/>
      <c r="T45" s="124"/>
      <c r="U45" s="124"/>
      <c r="V45" s="124"/>
      <c r="W45" s="124"/>
      <c r="X45" s="124"/>
    </row>
    <row r="46" spans="2:24" x14ac:dyDescent="0.2">
      <c r="B46" s="58">
        <v>45306</v>
      </c>
      <c r="C46" s="42" t="s">
        <v>45</v>
      </c>
      <c r="D46" s="38"/>
      <c r="E46" s="43"/>
      <c r="F46" s="43"/>
      <c r="G46" s="44"/>
      <c r="H46" s="45"/>
      <c r="I46" s="45"/>
      <c r="J46" s="46">
        <v>500</v>
      </c>
      <c r="K46" s="47">
        <v>5.2</v>
      </c>
      <c r="L46" s="47">
        <f>J46*K46</f>
        <v>2600</v>
      </c>
      <c r="M46" s="47"/>
      <c r="N46" s="48">
        <f>N45-J46</f>
        <v>2050</v>
      </c>
      <c r="O46" s="49">
        <v>5.2</v>
      </c>
      <c r="P46" s="49">
        <f>P45-L46</f>
        <v>10689.65</v>
      </c>
      <c r="R46" s="70">
        <v>45308</v>
      </c>
      <c r="S46" s="26">
        <f>L48*0.1</f>
        <v>78</v>
      </c>
      <c r="T46" s="26">
        <f>L48*0.21</f>
        <v>163.79999999999998</v>
      </c>
    </row>
    <row r="47" spans="2:24" x14ac:dyDescent="0.2">
      <c r="B47" s="58">
        <v>45307</v>
      </c>
      <c r="C47" s="42" t="s">
        <v>46</v>
      </c>
      <c r="D47" s="38"/>
      <c r="E47" s="59">
        <v>350</v>
      </c>
      <c r="F47" s="50"/>
      <c r="G47" s="45">
        <v>5.2</v>
      </c>
      <c r="H47" s="45">
        <f>E47*G47</f>
        <v>1820</v>
      </c>
      <c r="I47" s="45">
        <f>H47+X44</f>
        <v>2346.9</v>
      </c>
      <c r="J47" s="46"/>
      <c r="K47" s="51"/>
      <c r="L47" s="47"/>
      <c r="M47" s="47"/>
      <c r="N47" s="48">
        <f>N46+E47</f>
        <v>2400</v>
      </c>
      <c r="O47" s="49">
        <v>5.2</v>
      </c>
      <c r="P47" s="49">
        <f>P46+I47</f>
        <v>13036.55</v>
      </c>
    </row>
    <row r="48" spans="2:24" x14ac:dyDescent="0.2">
      <c r="B48" s="58">
        <v>45308</v>
      </c>
      <c r="C48" s="42" t="s">
        <v>45</v>
      </c>
      <c r="D48" s="38"/>
      <c r="E48" s="50"/>
      <c r="F48" s="50"/>
      <c r="G48" s="45"/>
      <c r="H48" s="45"/>
      <c r="I48" s="45"/>
      <c r="J48" s="46">
        <v>150</v>
      </c>
      <c r="K48" s="51">
        <v>5.2</v>
      </c>
      <c r="L48" s="47">
        <f>J48*K48</f>
        <v>780</v>
      </c>
      <c r="M48" s="47">
        <f>L48-S46+T46</f>
        <v>865.8</v>
      </c>
      <c r="N48" s="48">
        <f>N47-J48</f>
        <v>2250</v>
      </c>
      <c r="O48" s="49">
        <v>5.2</v>
      </c>
      <c r="P48" s="49">
        <f>P47-M48</f>
        <v>12170.75</v>
      </c>
    </row>
    <row r="49" spans="2:16" x14ac:dyDescent="0.2">
      <c r="B49" s="58">
        <v>45319</v>
      </c>
      <c r="C49" s="42" t="s">
        <v>45</v>
      </c>
      <c r="D49" s="38"/>
      <c r="E49" s="50"/>
      <c r="F49" s="50"/>
      <c r="G49" s="45"/>
      <c r="H49" s="45"/>
      <c r="I49" s="45"/>
      <c r="J49" s="46">
        <v>650</v>
      </c>
      <c r="K49" s="73">
        <v>5.2</v>
      </c>
      <c r="L49" s="74">
        <f>J49*K49</f>
        <v>3380</v>
      </c>
      <c r="M49" s="52"/>
      <c r="N49" s="48">
        <f>N48-J49</f>
        <v>1600</v>
      </c>
      <c r="O49" s="49">
        <v>5.2</v>
      </c>
      <c r="P49" s="49">
        <f>P48-L49</f>
        <v>8790.75</v>
      </c>
    </row>
    <row r="50" spans="2:16" x14ac:dyDescent="0.2">
      <c r="B50" s="57"/>
      <c r="C50" s="42"/>
      <c r="D50" s="38"/>
      <c r="E50" s="50"/>
      <c r="F50" s="43"/>
      <c r="G50" s="45"/>
      <c r="H50" s="45"/>
      <c r="I50" s="45"/>
      <c r="J50" s="46"/>
      <c r="K50" s="51"/>
      <c r="L50" s="47"/>
      <c r="M50" s="47"/>
      <c r="N50" s="48"/>
      <c r="O50" s="49"/>
      <c r="P50" s="49"/>
    </row>
    <row r="51" spans="2:16" x14ac:dyDescent="0.2">
      <c r="B51" s="57"/>
      <c r="C51" s="42"/>
      <c r="D51" s="38"/>
      <c r="E51" s="50"/>
      <c r="F51" s="50"/>
      <c r="G51" s="44"/>
      <c r="H51" s="45"/>
      <c r="I51" s="45"/>
      <c r="J51" s="46"/>
      <c r="K51" s="47"/>
      <c r="L51" s="47"/>
      <c r="M51" s="47"/>
      <c r="N51" s="48"/>
      <c r="O51" s="49"/>
      <c r="P51" s="49"/>
    </row>
    <row r="52" spans="2:16" x14ac:dyDescent="0.2">
      <c r="B52" s="57"/>
      <c r="C52" s="42"/>
      <c r="D52" s="38"/>
      <c r="E52" s="43"/>
      <c r="F52" s="43"/>
      <c r="G52" s="44"/>
      <c r="H52" s="45"/>
      <c r="I52" s="45"/>
      <c r="J52" s="46"/>
      <c r="K52" s="47"/>
      <c r="L52" s="47"/>
      <c r="M52" s="47"/>
      <c r="N52" s="48"/>
      <c r="O52" s="49"/>
      <c r="P52" s="49"/>
    </row>
    <row r="53" spans="2:16" x14ac:dyDescent="0.2">
      <c r="B53" s="57"/>
      <c r="C53" s="42"/>
      <c r="D53" s="42"/>
      <c r="E53" s="43"/>
      <c r="F53" s="43"/>
      <c r="G53" s="45"/>
      <c r="H53" s="45"/>
      <c r="I53" s="45"/>
      <c r="J53" s="46"/>
      <c r="K53" s="51"/>
      <c r="L53" s="47"/>
      <c r="M53" s="47"/>
      <c r="N53" s="48"/>
      <c r="O53" s="49"/>
      <c r="P53" s="49"/>
    </row>
  </sheetData>
  <mergeCells count="28">
    <mergeCell ref="B3:P3"/>
    <mergeCell ref="B9:G9"/>
    <mergeCell ref="B42:B43"/>
    <mergeCell ref="C42:D42"/>
    <mergeCell ref="E42:H42"/>
    <mergeCell ref="J42:L42"/>
    <mergeCell ref="N42:P42"/>
    <mergeCell ref="R9:X9"/>
    <mergeCell ref="H9:P9"/>
    <mergeCell ref="B25:G25"/>
    <mergeCell ref="H25:P25"/>
    <mergeCell ref="B41:G41"/>
    <mergeCell ref="H41:P41"/>
    <mergeCell ref="E10:I10"/>
    <mergeCell ref="B26:B27"/>
    <mergeCell ref="C26:D26"/>
    <mergeCell ref="E26:H26"/>
    <mergeCell ref="J26:L26"/>
    <mergeCell ref="N26:P26"/>
    <mergeCell ref="B10:B11"/>
    <mergeCell ref="C10:D10"/>
    <mergeCell ref="J10:L10"/>
    <mergeCell ref="N10:P10"/>
    <mergeCell ref="R25:X25"/>
    <mergeCell ref="R41:X41"/>
    <mergeCell ref="R13:X13"/>
    <mergeCell ref="R29:X29"/>
    <mergeCell ref="R45:X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C5F34-5196-A440-A539-26C3C1579CD3}">
  <dimension ref="C2:O50"/>
  <sheetViews>
    <sheetView workbookViewId="0">
      <selection activeCell="C2" sqref="C2:M2"/>
    </sheetView>
  </sheetViews>
  <sheetFormatPr baseColWidth="10" defaultRowHeight="16" x14ac:dyDescent="0.2"/>
  <cols>
    <col min="6" max="6" width="22.1640625" bestFit="1" customWidth="1"/>
    <col min="7" max="8" width="15.6640625" bestFit="1" customWidth="1"/>
    <col min="9" max="9" width="22.1640625" bestFit="1" customWidth="1"/>
    <col min="10" max="11" width="18.5" bestFit="1" customWidth="1"/>
    <col min="12" max="12" width="18.33203125" bestFit="1" customWidth="1"/>
  </cols>
  <sheetData>
    <row r="2" spans="3:15" ht="21" x14ac:dyDescent="0.25">
      <c r="C2" s="108" t="s">
        <v>36</v>
      </c>
      <c r="D2" s="108"/>
      <c r="E2" s="108"/>
      <c r="F2" s="108"/>
      <c r="G2" s="108"/>
      <c r="H2" s="108"/>
      <c r="I2" s="108"/>
      <c r="J2" s="108"/>
      <c r="K2" s="108"/>
      <c r="L2" s="108"/>
      <c r="M2" s="108"/>
      <c r="N2" s="34"/>
      <c r="O2" s="34"/>
    </row>
    <row r="8" spans="3:15" ht="18" x14ac:dyDescent="0.2">
      <c r="G8" s="78"/>
      <c r="K8" s="178" t="s">
        <v>62</v>
      </c>
      <c r="L8" s="178"/>
      <c r="M8" s="178"/>
    </row>
    <row r="9" spans="3:15" ht="18" x14ac:dyDescent="0.2">
      <c r="C9" s="192" t="s">
        <v>61</v>
      </c>
      <c r="D9" s="192"/>
      <c r="E9" s="192"/>
      <c r="F9" s="79" t="s">
        <v>62</v>
      </c>
      <c r="H9" s="190" t="s">
        <v>61</v>
      </c>
      <c r="I9" s="190"/>
      <c r="J9" s="190"/>
      <c r="K9" s="102" t="s">
        <v>72</v>
      </c>
      <c r="L9" s="102" t="s">
        <v>73</v>
      </c>
      <c r="M9" s="103" t="s">
        <v>12</v>
      </c>
    </row>
    <row r="10" spans="3:15" x14ac:dyDescent="0.2">
      <c r="C10" s="157" t="s">
        <v>63</v>
      </c>
      <c r="D10" s="157"/>
      <c r="E10" s="157"/>
      <c r="F10" s="80" t="s">
        <v>64</v>
      </c>
      <c r="H10" s="157" t="s">
        <v>63</v>
      </c>
      <c r="I10" s="157"/>
      <c r="J10" s="157"/>
      <c r="K10" s="37">
        <v>5000</v>
      </c>
      <c r="L10" s="68">
        <v>0.3</v>
      </c>
      <c r="M10" s="68">
        <f>K10*L10</f>
        <v>1500</v>
      </c>
    </row>
    <row r="11" spans="3:15" x14ac:dyDescent="0.2">
      <c r="C11" s="80"/>
      <c r="D11" s="80"/>
      <c r="E11" s="80"/>
      <c r="F11" s="80"/>
      <c r="H11" s="179"/>
      <c r="I11" s="180"/>
      <c r="J11" s="181"/>
      <c r="K11" s="65" t="s">
        <v>74</v>
      </c>
      <c r="L11" s="84" t="s">
        <v>75</v>
      </c>
      <c r="M11" s="68"/>
    </row>
    <row r="12" spans="3:15" ht="68" x14ac:dyDescent="0.2">
      <c r="C12" s="191" t="s">
        <v>65</v>
      </c>
      <c r="D12" s="191"/>
      <c r="E12" s="191"/>
      <c r="F12" s="82" t="s">
        <v>66</v>
      </c>
      <c r="H12" s="191" t="s">
        <v>65</v>
      </c>
      <c r="I12" s="191"/>
      <c r="J12" s="191"/>
      <c r="K12" s="85">
        <v>600</v>
      </c>
      <c r="L12" s="86">
        <v>301.5</v>
      </c>
      <c r="M12" s="86">
        <f>K12+L12</f>
        <v>901.5</v>
      </c>
    </row>
    <row r="13" spans="3:15" x14ac:dyDescent="0.2">
      <c r="C13" s="81"/>
      <c r="D13" s="81"/>
      <c r="E13" s="81"/>
      <c r="F13" s="82"/>
      <c r="H13" s="182"/>
      <c r="I13" s="183"/>
      <c r="J13" s="184"/>
      <c r="K13" s="185"/>
      <c r="L13" s="186"/>
      <c r="M13" s="187"/>
    </row>
    <row r="14" spans="3:15" x14ac:dyDescent="0.2">
      <c r="C14" s="157" t="s">
        <v>67</v>
      </c>
      <c r="D14" s="157"/>
      <c r="E14" s="157"/>
      <c r="F14" s="83">
        <v>3005.06</v>
      </c>
      <c r="H14" s="157" t="s">
        <v>67</v>
      </c>
      <c r="I14" s="157"/>
      <c r="J14" s="157"/>
      <c r="K14" s="188">
        <v>3005.06</v>
      </c>
      <c r="L14" s="189"/>
      <c r="M14" s="88">
        <f>K14</f>
        <v>3005.06</v>
      </c>
    </row>
    <row r="15" spans="3:15" x14ac:dyDescent="0.2">
      <c r="C15" s="157" t="s">
        <v>68</v>
      </c>
      <c r="D15" s="157"/>
      <c r="E15" s="157"/>
      <c r="F15" s="83">
        <v>360.61</v>
      </c>
      <c r="H15" s="157" t="s">
        <v>77</v>
      </c>
      <c r="I15" s="157"/>
      <c r="J15" s="157"/>
      <c r="K15" s="188">
        <v>360.61</v>
      </c>
      <c r="L15" s="189"/>
      <c r="M15" s="88">
        <f>K15</f>
        <v>360.61</v>
      </c>
    </row>
    <row r="16" spans="3:15" x14ac:dyDescent="0.2">
      <c r="C16" s="157" t="s">
        <v>69</v>
      </c>
      <c r="D16" s="157"/>
      <c r="E16" s="157"/>
      <c r="F16" s="83">
        <v>180.3</v>
      </c>
      <c r="H16" s="157" t="s">
        <v>69</v>
      </c>
      <c r="I16" s="157"/>
      <c r="J16" s="157"/>
      <c r="K16" s="188">
        <v>180.3</v>
      </c>
      <c r="L16" s="189"/>
      <c r="M16" s="88">
        <f>K16</f>
        <v>180.3</v>
      </c>
    </row>
    <row r="17" spans="3:15" x14ac:dyDescent="0.2">
      <c r="C17" s="157" t="s">
        <v>70</v>
      </c>
      <c r="D17" s="157"/>
      <c r="E17" s="157"/>
      <c r="F17" s="83">
        <v>150.25</v>
      </c>
      <c r="H17" s="157" t="s">
        <v>70</v>
      </c>
      <c r="I17" s="157"/>
      <c r="J17" s="157"/>
      <c r="K17" s="188">
        <v>150.25</v>
      </c>
      <c r="L17" s="189"/>
      <c r="M17" s="88">
        <f>K17</f>
        <v>150.25</v>
      </c>
    </row>
    <row r="18" spans="3:15" x14ac:dyDescent="0.2">
      <c r="C18" s="157" t="s">
        <v>71</v>
      </c>
      <c r="D18" s="157"/>
      <c r="E18" s="157"/>
      <c r="F18" s="83">
        <v>601.01</v>
      </c>
      <c r="H18" s="157" t="s">
        <v>71</v>
      </c>
      <c r="I18" s="157"/>
      <c r="J18" s="157"/>
      <c r="K18" s="188">
        <v>601.01</v>
      </c>
      <c r="L18" s="189"/>
      <c r="M18" s="88">
        <f>K18</f>
        <v>601.01</v>
      </c>
      <c r="O18" s="26">
        <f>L12+M14+M15+M16+M17+M18</f>
        <v>4598.7300000000005</v>
      </c>
    </row>
    <row r="19" spans="3:15" x14ac:dyDescent="0.2">
      <c r="L19" s="89" t="s">
        <v>76</v>
      </c>
      <c r="M19" s="12">
        <f>M10+M12+M14+M15+M16+M17+M18</f>
        <v>6698.73</v>
      </c>
      <c r="O19" s="26">
        <f>O18+M10</f>
        <v>6098.7300000000005</v>
      </c>
    </row>
    <row r="26" spans="3:15" ht="27" customHeight="1" x14ac:dyDescent="0.2">
      <c r="D26" s="164" t="s">
        <v>6</v>
      </c>
      <c r="E26" s="165"/>
      <c r="F26" s="168" t="s">
        <v>79</v>
      </c>
      <c r="G26" s="169"/>
      <c r="H26" s="170"/>
      <c r="I26" s="171" t="s">
        <v>82</v>
      </c>
      <c r="J26" s="173" t="s">
        <v>81</v>
      </c>
      <c r="K26" s="174" t="s">
        <v>12</v>
      </c>
      <c r="M26" s="90"/>
    </row>
    <row r="27" spans="3:15" ht="18" customHeight="1" x14ac:dyDescent="0.2">
      <c r="D27" s="166"/>
      <c r="E27" s="167"/>
      <c r="F27" s="96" t="s">
        <v>8</v>
      </c>
      <c r="G27" s="96" t="s">
        <v>10</v>
      </c>
      <c r="H27" s="96" t="s">
        <v>11</v>
      </c>
      <c r="I27" s="172"/>
      <c r="J27" s="173"/>
      <c r="K27" s="175"/>
    </row>
    <row r="28" spans="3:15" x14ac:dyDescent="0.2">
      <c r="D28" s="162" t="s">
        <v>88</v>
      </c>
      <c r="E28" s="163"/>
      <c r="F28" s="92">
        <v>5000</v>
      </c>
      <c r="G28" s="93">
        <v>0.3</v>
      </c>
      <c r="H28" s="93">
        <f>F28*G28</f>
        <v>1500</v>
      </c>
      <c r="I28" s="95">
        <v>0</v>
      </c>
      <c r="J28" s="93"/>
      <c r="K28" s="93">
        <f>H28+I28+J28</f>
        <v>1500</v>
      </c>
    </row>
    <row r="29" spans="3:15" x14ac:dyDescent="0.2">
      <c r="D29" s="162" t="s">
        <v>86</v>
      </c>
      <c r="E29" s="163"/>
      <c r="F29" s="92">
        <v>1000</v>
      </c>
      <c r="G29" s="93">
        <v>0.32</v>
      </c>
      <c r="H29" s="93">
        <f t="shared" ref="H29:H30" si="0">F29*G29</f>
        <v>320</v>
      </c>
      <c r="I29" s="95">
        <f>L12</f>
        <v>301.5</v>
      </c>
      <c r="J29" s="93">
        <f>I42</f>
        <v>3227.5725000000002</v>
      </c>
      <c r="K29" s="93">
        <f>H29+I29+J29</f>
        <v>3849.0725000000002</v>
      </c>
    </row>
    <row r="30" spans="3:15" x14ac:dyDescent="0.2">
      <c r="D30" s="162" t="s">
        <v>87</v>
      </c>
      <c r="E30" s="163"/>
      <c r="F30" s="92">
        <v>500</v>
      </c>
      <c r="G30" s="93">
        <v>0.32</v>
      </c>
      <c r="H30" s="93">
        <f t="shared" si="0"/>
        <v>160</v>
      </c>
      <c r="I30" s="95">
        <f>L12</f>
        <v>301.5</v>
      </c>
      <c r="J30" s="93">
        <f>I50</f>
        <v>3231.2474999999999</v>
      </c>
      <c r="K30" s="93">
        <f>H30+I30+J30</f>
        <v>3692.7474999999999</v>
      </c>
    </row>
    <row r="31" spans="3:15" x14ac:dyDescent="0.2">
      <c r="K31" s="94">
        <f>SUM(K28:K30)</f>
        <v>9041.82</v>
      </c>
    </row>
    <row r="32" spans="3:15" x14ac:dyDescent="0.2">
      <c r="C32" s="91"/>
      <c r="D32" s="91"/>
      <c r="F32" s="176" t="s">
        <v>85</v>
      </c>
      <c r="G32" s="177"/>
    </row>
    <row r="33" spans="3:12" x14ac:dyDescent="0.2">
      <c r="C33" s="91"/>
      <c r="F33" s="97" t="s">
        <v>83</v>
      </c>
      <c r="G33" s="98">
        <f>F17+6.2</f>
        <v>156.44999999999999</v>
      </c>
      <c r="K33" s="159" t="s">
        <v>78</v>
      </c>
      <c r="L33" s="159"/>
    </row>
    <row r="34" spans="3:12" x14ac:dyDescent="0.2">
      <c r="C34" s="91"/>
      <c r="F34" s="37" t="s">
        <v>84</v>
      </c>
      <c r="G34" s="87">
        <f>G33+4.9</f>
        <v>161.35</v>
      </c>
      <c r="K34" s="37" t="s">
        <v>31</v>
      </c>
      <c r="L34" s="37">
        <v>1000</v>
      </c>
    </row>
    <row r="35" spans="3:12" x14ac:dyDescent="0.2">
      <c r="C35" s="91"/>
      <c r="K35" s="37" t="s">
        <v>80</v>
      </c>
      <c r="L35" s="88">
        <f>K29</f>
        <v>3849.0725000000002</v>
      </c>
    </row>
    <row r="36" spans="3:12" x14ac:dyDescent="0.2">
      <c r="C36" s="91"/>
      <c r="D36" s="161" t="s">
        <v>54</v>
      </c>
      <c r="E36" s="161"/>
      <c r="F36" s="161"/>
      <c r="G36" s="161"/>
      <c r="H36" s="161"/>
      <c r="I36" s="99">
        <v>0.75</v>
      </c>
      <c r="L36" s="101">
        <f>L35/L34</f>
        <v>3.8490725000000001</v>
      </c>
    </row>
    <row r="37" spans="3:12" x14ac:dyDescent="0.2">
      <c r="C37" s="91"/>
      <c r="D37" s="157" t="s">
        <v>67</v>
      </c>
      <c r="E37" s="157"/>
      <c r="F37" s="157"/>
      <c r="G37" s="158">
        <v>3005.06</v>
      </c>
      <c r="H37" s="158"/>
      <c r="I37" s="88">
        <f>G37*0.75</f>
        <v>2253.7950000000001</v>
      </c>
    </row>
    <row r="38" spans="3:12" x14ac:dyDescent="0.2">
      <c r="C38" s="91"/>
      <c r="D38" s="157" t="s">
        <v>77</v>
      </c>
      <c r="E38" s="157"/>
      <c r="F38" s="157"/>
      <c r="G38" s="158">
        <v>360.61</v>
      </c>
      <c r="H38" s="158"/>
      <c r="I38" s="88">
        <f t="shared" ref="I38:I41" si="1">G38*0.75</f>
        <v>270.45749999999998</v>
      </c>
    </row>
    <row r="39" spans="3:12" x14ac:dyDescent="0.2">
      <c r="C39" s="91"/>
      <c r="D39" s="157" t="s">
        <v>69</v>
      </c>
      <c r="E39" s="157"/>
      <c r="F39" s="157"/>
      <c r="G39" s="158">
        <v>180.3</v>
      </c>
      <c r="H39" s="158"/>
      <c r="I39" s="88">
        <f t="shared" si="1"/>
        <v>135.22500000000002</v>
      </c>
      <c r="J39" s="91"/>
      <c r="K39" s="159" t="s">
        <v>78</v>
      </c>
      <c r="L39" s="159"/>
    </row>
    <row r="40" spans="3:12" x14ac:dyDescent="0.2">
      <c r="D40" s="157" t="s">
        <v>70</v>
      </c>
      <c r="E40" s="157"/>
      <c r="F40" s="157"/>
      <c r="G40" s="160">
        <f>G33</f>
        <v>156.44999999999999</v>
      </c>
      <c r="H40" s="160"/>
      <c r="I40" s="88">
        <f t="shared" si="1"/>
        <v>117.33749999999999</v>
      </c>
      <c r="K40" s="37" t="s">
        <v>31</v>
      </c>
      <c r="L40" s="37">
        <v>1000</v>
      </c>
    </row>
    <row r="41" spans="3:12" x14ac:dyDescent="0.2">
      <c r="D41" s="157" t="s">
        <v>71</v>
      </c>
      <c r="E41" s="157"/>
      <c r="F41" s="157"/>
      <c r="G41" s="158">
        <v>601.01</v>
      </c>
      <c r="H41" s="158"/>
      <c r="I41" s="88">
        <f t="shared" si="1"/>
        <v>450.75749999999999</v>
      </c>
      <c r="K41" s="37" t="s">
        <v>80</v>
      </c>
      <c r="L41" s="88">
        <f>K31</f>
        <v>9041.82</v>
      </c>
    </row>
    <row r="42" spans="3:12" x14ac:dyDescent="0.2">
      <c r="H42" s="27" t="s">
        <v>12</v>
      </c>
      <c r="I42" s="100">
        <f>I37+I38+I39+I40+I41</f>
        <v>3227.5725000000002</v>
      </c>
      <c r="L42" s="101">
        <f>L41/L40</f>
        <v>9.0418199999999995</v>
      </c>
    </row>
    <row r="44" spans="3:12" x14ac:dyDescent="0.2">
      <c r="D44" s="161" t="s">
        <v>54</v>
      </c>
      <c r="E44" s="161"/>
      <c r="F44" s="161"/>
      <c r="G44" s="161"/>
      <c r="H44" s="161"/>
      <c r="I44" s="99">
        <v>0.75</v>
      </c>
    </row>
    <row r="45" spans="3:12" x14ac:dyDescent="0.2">
      <c r="D45" s="157" t="s">
        <v>67</v>
      </c>
      <c r="E45" s="157"/>
      <c r="F45" s="157"/>
      <c r="G45" s="158">
        <v>3005.06</v>
      </c>
      <c r="H45" s="158"/>
      <c r="I45" s="88">
        <f>G45*0.75</f>
        <v>2253.7950000000001</v>
      </c>
    </row>
    <row r="46" spans="3:12" x14ac:dyDescent="0.2">
      <c r="D46" s="157" t="s">
        <v>77</v>
      </c>
      <c r="E46" s="157"/>
      <c r="F46" s="157"/>
      <c r="G46" s="158">
        <v>360.61</v>
      </c>
      <c r="H46" s="158"/>
      <c r="I46" s="88">
        <f t="shared" ref="I46:I49" si="2">G46*0.75</f>
        <v>270.45749999999998</v>
      </c>
    </row>
    <row r="47" spans="3:12" x14ac:dyDescent="0.2">
      <c r="D47" s="157" t="s">
        <v>69</v>
      </c>
      <c r="E47" s="157"/>
      <c r="F47" s="157"/>
      <c r="G47" s="158">
        <v>180.3</v>
      </c>
      <c r="H47" s="158"/>
      <c r="I47" s="88">
        <f t="shared" si="2"/>
        <v>135.22500000000002</v>
      </c>
    </row>
    <row r="48" spans="3:12" x14ac:dyDescent="0.2">
      <c r="D48" s="157" t="s">
        <v>70</v>
      </c>
      <c r="E48" s="157"/>
      <c r="F48" s="157"/>
      <c r="G48" s="160">
        <f>G34</f>
        <v>161.35</v>
      </c>
      <c r="H48" s="160"/>
      <c r="I48" s="88">
        <f t="shared" si="2"/>
        <v>121.01249999999999</v>
      </c>
    </row>
    <row r="49" spans="4:9" x14ac:dyDescent="0.2">
      <c r="D49" s="157" t="s">
        <v>71</v>
      </c>
      <c r="E49" s="157"/>
      <c r="F49" s="157"/>
      <c r="G49" s="158">
        <v>601.01</v>
      </c>
      <c r="H49" s="158"/>
      <c r="I49" s="88">
        <f t="shared" si="2"/>
        <v>450.75749999999999</v>
      </c>
    </row>
    <row r="50" spans="4:9" x14ac:dyDescent="0.2">
      <c r="H50" s="27" t="s">
        <v>12</v>
      </c>
      <c r="I50" s="100">
        <f>I45+I46+I47+I48+I49</f>
        <v>3231.2474999999999</v>
      </c>
    </row>
  </sheetData>
  <mergeCells count="59">
    <mergeCell ref="C16:E16"/>
    <mergeCell ref="C17:E17"/>
    <mergeCell ref="C18:E18"/>
    <mergeCell ref="H9:J9"/>
    <mergeCell ref="H10:J10"/>
    <mergeCell ref="H12:J12"/>
    <mergeCell ref="H14:J14"/>
    <mergeCell ref="H15:J15"/>
    <mergeCell ref="H16:J16"/>
    <mergeCell ref="H17:J17"/>
    <mergeCell ref="C9:E9"/>
    <mergeCell ref="C10:E10"/>
    <mergeCell ref="C12:E12"/>
    <mergeCell ref="C14:E14"/>
    <mergeCell ref="C15:E15"/>
    <mergeCell ref="H18:J18"/>
    <mergeCell ref="K8:M8"/>
    <mergeCell ref="H11:J11"/>
    <mergeCell ref="H13:J13"/>
    <mergeCell ref="K13:M13"/>
    <mergeCell ref="K14:L14"/>
    <mergeCell ref="K15:L15"/>
    <mergeCell ref="K16:L16"/>
    <mergeCell ref="K17:L17"/>
    <mergeCell ref="K18:L18"/>
    <mergeCell ref="I26:I27"/>
    <mergeCell ref="J26:J27"/>
    <mergeCell ref="K26:K27"/>
    <mergeCell ref="F32:G32"/>
    <mergeCell ref="D37:F37"/>
    <mergeCell ref="D28:E28"/>
    <mergeCell ref="D29:E29"/>
    <mergeCell ref="D30:E30"/>
    <mergeCell ref="D26:E27"/>
    <mergeCell ref="F26:H26"/>
    <mergeCell ref="G45:H45"/>
    <mergeCell ref="G37:H37"/>
    <mergeCell ref="D38:F38"/>
    <mergeCell ref="G38:H38"/>
    <mergeCell ref="D39:F39"/>
    <mergeCell ref="G39:H39"/>
    <mergeCell ref="D40:F40"/>
    <mergeCell ref="G40:H40"/>
    <mergeCell ref="D49:F49"/>
    <mergeCell ref="G49:H49"/>
    <mergeCell ref="K33:L33"/>
    <mergeCell ref="K39:L39"/>
    <mergeCell ref="C2:M2"/>
    <mergeCell ref="D46:F46"/>
    <mergeCell ref="G46:H46"/>
    <mergeCell ref="D47:F47"/>
    <mergeCell ref="G47:H47"/>
    <mergeCell ref="D48:F48"/>
    <mergeCell ref="G48:H48"/>
    <mergeCell ref="D41:F41"/>
    <mergeCell ref="G41:H41"/>
    <mergeCell ref="D36:H36"/>
    <mergeCell ref="D44:H44"/>
    <mergeCell ref="D45:F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90DB2-76B2-9F4F-B88E-94D099503AC5}">
  <dimension ref="A3:M46"/>
  <sheetViews>
    <sheetView tabSelected="1" topLeftCell="A24" workbookViewId="0">
      <selection activeCell="G46" sqref="G46:H46"/>
    </sheetView>
  </sheetViews>
  <sheetFormatPr baseColWidth="10" defaultRowHeight="16" x14ac:dyDescent="0.2"/>
  <cols>
    <col min="5" max="5" width="9.33203125" customWidth="1"/>
    <col min="6" max="6" width="19.6640625" customWidth="1"/>
    <col min="7" max="7" width="13.6640625" customWidth="1"/>
    <col min="8" max="8" width="14.83203125" customWidth="1"/>
    <col min="9" max="9" width="13.6640625" customWidth="1"/>
  </cols>
  <sheetData>
    <row r="3" spans="1:13" ht="21" x14ac:dyDescent="0.25">
      <c r="A3" s="108" t="s">
        <v>59</v>
      </c>
      <c r="B3" s="108"/>
      <c r="C3" s="108"/>
      <c r="D3" s="108"/>
      <c r="E3" s="108"/>
      <c r="F3" s="108"/>
      <c r="G3" s="108"/>
      <c r="H3" s="108"/>
      <c r="I3" s="108"/>
      <c r="J3" s="108"/>
      <c r="K3" s="108"/>
      <c r="L3" s="108"/>
      <c r="M3" s="108"/>
    </row>
    <row r="11" spans="1:13" ht="16" customHeight="1" x14ac:dyDescent="0.2">
      <c r="A11" s="200" t="s">
        <v>89</v>
      </c>
      <c r="B11" s="200"/>
      <c r="C11" s="200"/>
      <c r="D11" s="200"/>
      <c r="E11" s="200"/>
      <c r="F11" s="200"/>
      <c r="G11" s="200"/>
      <c r="H11" s="200"/>
      <c r="I11" s="200"/>
      <c r="J11" s="200"/>
      <c r="K11" s="200"/>
      <c r="L11" s="200"/>
      <c r="M11" s="200"/>
    </row>
    <row r="12" spans="1:13" ht="16" customHeight="1" x14ac:dyDescent="0.2">
      <c r="A12" s="200"/>
      <c r="B12" s="200"/>
      <c r="C12" s="200"/>
      <c r="D12" s="200"/>
      <c r="E12" s="200"/>
      <c r="F12" s="200"/>
      <c r="G12" s="200"/>
      <c r="H12" s="200"/>
      <c r="I12" s="200"/>
      <c r="J12" s="200"/>
      <c r="K12" s="200"/>
      <c r="L12" s="200"/>
      <c r="M12" s="200"/>
    </row>
    <row r="13" spans="1:13" x14ac:dyDescent="0.2">
      <c r="A13" s="200"/>
      <c r="B13" s="200"/>
      <c r="C13" s="200"/>
      <c r="D13" s="200"/>
      <c r="E13" s="200"/>
      <c r="F13" s="200"/>
      <c r="G13" s="200"/>
      <c r="H13" s="200"/>
      <c r="I13" s="200"/>
      <c r="J13" s="200"/>
      <c r="K13" s="200"/>
      <c r="L13" s="200"/>
      <c r="M13" s="200"/>
    </row>
    <row r="15" spans="1:13" ht="20" x14ac:dyDescent="0.2">
      <c r="E15" s="193" t="s">
        <v>90</v>
      </c>
      <c r="F15" s="193"/>
      <c r="G15" s="193"/>
      <c r="H15" s="193"/>
    </row>
    <row r="16" spans="1:13" ht="20" x14ac:dyDescent="0.2">
      <c r="E16" s="104" t="s">
        <v>91</v>
      </c>
      <c r="F16" s="104" t="s">
        <v>31</v>
      </c>
      <c r="G16" s="104" t="s">
        <v>92</v>
      </c>
      <c r="H16" s="104" t="s">
        <v>80</v>
      </c>
    </row>
    <row r="17" spans="5:8" x14ac:dyDescent="0.2">
      <c r="E17" s="37" t="s">
        <v>93</v>
      </c>
      <c r="F17" s="92">
        <v>200</v>
      </c>
      <c r="G17" s="93">
        <v>32.5</v>
      </c>
      <c r="H17" s="93">
        <f>F17*G17</f>
        <v>6500</v>
      </c>
    </row>
    <row r="18" spans="5:8" x14ac:dyDescent="0.2">
      <c r="E18" s="37" t="s">
        <v>94</v>
      </c>
      <c r="F18" s="92">
        <v>600</v>
      </c>
      <c r="G18" s="93">
        <v>25.6</v>
      </c>
      <c r="H18" s="93">
        <f>F18*G18</f>
        <v>15360</v>
      </c>
    </row>
    <row r="19" spans="5:8" x14ac:dyDescent="0.2">
      <c r="E19" s="37" t="s">
        <v>95</v>
      </c>
      <c r="F19" s="92">
        <v>1400</v>
      </c>
      <c r="G19" s="93">
        <v>63.3</v>
      </c>
      <c r="H19" s="93">
        <f>F19*G19</f>
        <v>88620</v>
      </c>
    </row>
    <row r="20" spans="5:8" x14ac:dyDescent="0.2">
      <c r="E20" s="37" t="s">
        <v>96</v>
      </c>
      <c r="F20" s="92">
        <v>900</v>
      </c>
      <c r="G20" s="93">
        <v>73.3</v>
      </c>
      <c r="H20" s="93">
        <f>F20*G20</f>
        <v>65970</v>
      </c>
    </row>
    <row r="21" spans="5:8" x14ac:dyDescent="0.2">
      <c r="E21" s="37" t="s">
        <v>97</v>
      </c>
      <c r="F21" s="92">
        <v>2990</v>
      </c>
      <c r="G21" s="93">
        <v>10.6</v>
      </c>
      <c r="H21" s="93">
        <f>F21*G21</f>
        <v>31694</v>
      </c>
    </row>
    <row r="22" spans="5:8" x14ac:dyDescent="0.2">
      <c r="G22" s="106" t="s">
        <v>12</v>
      </c>
      <c r="H22" s="105">
        <f>SUM(H17:H21)</f>
        <v>208144</v>
      </c>
    </row>
    <row r="24" spans="5:8" ht="20" x14ac:dyDescent="0.2">
      <c r="E24" s="193" t="s">
        <v>98</v>
      </c>
      <c r="F24" s="193"/>
      <c r="G24" s="193"/>
      <c r="H24" s="193"/>
    </row>
    <row r="25" spans="5:8" x14ac:dyDescent="0.2">
      <c r="E25" s="194" t="s">
        <v>99</v>
      </c>
      <c r="F25" s="194"/>
      <c r="G25" s="195">
        <v>43254.9</v>
      </c>
      <c r="H25" s="195"/>
    </row>
    <row r="26" spans="5:8" ht="20" x14ac:dyDescent="0.2">
      <c r="E26" s="193" t="s">
        <v>100</v>
      </c>
      <c r="F26" s="193"/>
      <c r="G26" s="193"/>
      <c r="H26" s="193"/>
    </row>
    <row r="27" spans="5:8" x14ac:dyDescent="0.2">
      <c r="E27" s="194" t="s">
        <v>101</v>
      </c>
      <c r="F27" s="194"/>
      <c r="G27" s="195">
        <v>75623.7</v>
      </c>
      <c r="H27" s="195"/>
    </row>
    <row r="29" spans="5:8" ht="20" x14ac:dyDescent="0.2">
      <c r="E29" s="193" t="s">
        <v>102</v>
      </c>
      <c r="F29" s="193"/>
      <c r="G29" s="193"/>
      <c r="H29" s="193"/>
    </row>
    <row r="30" spans="5:8" x14ac:dyDescent="0.2">
      <c r="E30" s="194" t="s">
        <v>31</v>
      </c>
      <c r="F30" s="194"/>
      <c r="G30" s="197">
        <v>10000</v>
      </c>
      <c r="H30" s="197"/>
    </row>
    <row r="31" spans="5:8" x14ac:dyDescent="0.2">
      <c r="E31" s="199">
        <v>0.75</v>
      </c>
      <c r="F31" s="194"/>
      <c r="G31" s="197">
        <f>G30*0.75</f>
        <v>7500</v>
      </c>
      <c r="H31" s="197"/>
    </row>
    <row r="33" spans="5:9" ht="20" x14ac:dyDescent="0.2">
      <c r="E33" s="193" t="s">
        <v>103</v>
      </c>
      <c r="F33" s="193"/>
      <c r="G33" s="193"/>
      <c r="H33" s="193"/>
    </row>
    <row r="34" spans="5:9" x14ac:dyDescent="0.2">
      <c r="E34" s="194" t="s">
        <v>105</v>
      </c>
      <c r="F34" s="194"/>
      <c r="G34" s="195">
        <f>H22</f>
        <v>208144</v>
      </c>
      <c r="H34" s="195"/>
    </row>
    <row r="35" spans="5:9" x14ac:dyDescent="0.2">
      <c r="E35" s="194" t="s">
        <v>104</v>
      </c>
      <c r="F35" s="194"/>
      <c r="G35" s="195">
        <f>G25</f>
        <v>43254.9</v>
      </c>
      <c r="H35" s="195"/>
    </row>
    <row r="36" spans="5:9" x14ac:dyDescent="0.2">
      <c r="E36" s="198" t="s">
        <v>12</v>
      </c>
      <c r="F36" s="198"/>
      <c r="G36" s="195">
        <f>G34+G35</f>
        <v>251398.9</v>
      </c>
      <c r="H36" s="195"/>
    </row>
    <row r="38" spans="5:9" ht="20" x14ac:dyDescent="0.2">
      <c r="E38" s="193" t="s">
        <v>106</v>
      </c>
      <c r="F38" s="193"/>
      <c r="G38" s="193"/>
      <c r="H38" s="193"/>
      <c r="I38" s="107">
        <v>0.75</v>
      </c>
    </row>
    <row r="39" spans="5:9" x14ac:dyDescent="0.2">
      <c r="E39" s="194" t="s">
        <v>103</v>
      </c>
      <c r="F39" s="194"/>
      <c r="G39" s="195">
        <f>G36</f>
        <v>251398.9</v>
      </c>
      <c r="H39" s="195"/>
      <c r="I39" s="88">
        <f>G39</f>
        <v>251398.9</v>
      </c>
    </row>
    <row r="40" spans="5:9" x14ac:dyDescent="0.2">
      <c r="E40" s="194" t="s">
        <v>31</v>
      </c>
      <c r="F40" s="194"/>
      <c r="G40" s="197">
        <f>G30</f>
        <v>10000</v>
      </c>
      <c r="H40" s="197"/>
      <c r="I40" s="67">
        <f>G31</f>
        <v>7500</v>
      </c>
    </row>
    <row r="41" spans="5:9" x14ac:dyDescent="0.2">
      <c r="E41" s="198" t="s">
        <v>12</v>
      </c>
      <c r="F41" s="198"/>
      <c r="G41" s="195">
        <f>G39/G40</f>
        <v>25.139890000000001</v>
      </c>
      <c r="H41" s="195"/>
      <c r="I41" s="88">
        <f>I39/I40</f>
        <v>33.51985333333333</v>
      </c>
    </row>
    <row r="43" spans="5:9" ht="20" x14ac:dyDescent="0.2">
      <c r="E43" s="193" t="s">
        <v>107</v>
      </c>
      <c r="F43" s="193"/>
      <c r="G43" s="193"/>
      <c r="H43" s="193"/>
    </row>
    <row r="44" spans="5:9" x14ac:dyDescent="0.2">
      <c r="E44" s="194" t="s">
        <v>108</v>
      </c>
      <c r="F44" s="194"/>
      <c r="G44" s="195">
        <v>40.9</v>
      </c>
      <c r="H44" s="195"/>
    </row>
    <row r="45" spans="5:9" x14ac:dyDescent="0.2">
      <c r="E45" s="194" t="s">
        <v>103</v>
      </c>
      <c r="F45" s="194"/>
      <c r="G45" s="195">
        <f>I41</f>
        <v>33.51985333333333</v>
      </c>
      <c r="H45" s="195"/>
    </row>
    <row r="46" spans="5:9" x14ac:dyDescent="0.2">
      <c r="G46" s="196">
        <f>(G44-G45)/G44</f>
        <v>0.18044368378158115</v>
      </c>
      <c r="H46" s="196"/>
    </row>
  </sheetData>
  <mergeCells count="34">
    <mergeCell ref="A3:M3"/>
    <mergeCell ref="A11:M13"/>
    <mergeCell ref="E15:H15"/>
    <mergeCell ref="E33:H33"/>
    <mergeCell ref="E24:H24"/>
    <mergeCell ref="E25:F25"/>
    <mergeCell ref="G25:H25"/>
    <mergeCell ref="E26:H26"/>
    <mergeCell ref="E27:F27"/>
    <mergeCell ref="G27:H27"/>
    <mergeCell ref="E29:H29"/>
    <mergeCell ref="E30:F30"/>
    <mergeCell ref="G30:H30"/>
    <mergeCell ref="E31:F31"/>
    <mergeCell ref="G31:H31"/>
    <mergeCell ref="E34:F34"/>
    <mergeCell ref="G34:H34"/>
    <mergeCell ref="E35:F35"/>
    <mergeCell ref="G35:H35"/>
    <mergeCell ref="E36:F36"/>
    <mergeCell ref="G36:H36"/>
    <mergeCell ref="G46:H46"/>
    <mergeCell ref="E38:H38"/>
    <mergeCell ref="E39:F39"/>
    <mergeCell ref="G39:H39"/>
    <mergeCell ref="E40:F40"/>
    <mergeCell ref="G40:H40"/>
    <mergeCell ref="E41:F41"/>
    <mergeCell ref="G41:H41"/>
    <mergeCell ref="E43:H43"/>
    <mergeCell ref="E44:F44"/>
    <mergeCell ref="G44:H44"/>
    <mergeCell ref="E45:F45"/>
    <mergeCell ref="G45:H4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Problema 1</vt:lpstr>
      <vt:lpstr>Problema 2</vt:lpstr>
      <vt:lpstr>Problema 3</vt:lpstr>
      <vt:lpstr>Problrma 4</vt:lpstr>
      <vt:lpstr>Problema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2024-03-13T03:49:51Z</dcterms:created>
  <dcterms:modified xsi:type="dcterms:W3CDTF">2024-03-13T18:09:15Z</dcterms:modified>
</cp:coreProperties>
</file>