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Semestre\INVENTARIO Y CADENA DE SUMINISTROS\"/>
    </mc:Choice>
  </mc:AlternateContent>
  <bookViews>
    <workbookView xWindow="0" yWindow="0" windowWidth="20460" windowHeight="7020" activeTab="1"/>
  </bookViews>
  <sheets>
    <sheet name="SOUTHWESTERN " sheetId="2" r:id="rId1"/>
    <sheet name="LL BEAN INC." sheetId="3" r:id="rId2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B48" i="2" l="1"/>
  <c r="E43" i="2"/>
  <c r="D43" i="2"/>
  <c r="D39" i="2"/>
  <c r="E39" i="2" s="1"/>
  <c r="F39" i="2" s="1"/>
  <c r="D38" i="2"/>
  <c r="D37" i="2"/>
  <c r="D36" i="2"/>
  <c r="D35" i="2"/>
  <c r="E42" i="2"/>
  <c r="D42" i="2"/>
  <c r="C42" i="2"/>
  <c r="B42" i="2"/>
  <c r="F42" i="2"/>
  <c r="C36" i="2"/>
  <c r="C37" i="2"/>
  <c r="C38" i="2"/>
  <c r="C39" i="2"/>
  <c r="C35" i="2"/>
  <c r="D34" i="2"/>
  <c r="E30" i="2"/>
  <c r="D33" i="2"/>
  <c r="D32" i="2"/>
  <c r="D31" i="2"/>
  <c r="D30" i="2"/>
  <c r="B39" i="2"/>
  <c r="B38" i="2"/>
  <c r="B37" i="2"/>
  <c r="E37" i="2" s="1"/>
  <c r="F37" i="2" s="1"/>
  <c r="B36" i="2"/>
  <c r="E36" i="2" s="1"/>
  <c r="F36" i="2" s="1"/>
  <c r="B35" i="2"/>
  <c r="E35" i="2" s="1"/>
  <c r="F35" i="2" s="1"/>
  <c r="B34" i="2"/>
  <c r="E34" i="2" s="1"/>
  <c r="F34" i="2" s="1"/>
  <c r="B33" i="2"/>
  <c r="E33" i="2" s="1"/>
  <c r="F33" i="2" s="1"/>
  <c r="B32" i="2"/>
  <c r="E32" i="2" s="1"/>
  <c r="F32" i="2" s="1"/>
  <c r="B31" i="2"/>
  <c r="E31" i="2" s="1"/>
  <c r="F31" i="2" s="1"/>
  <c r="B30" i="2"/>
  <c r="F30" i="2" s="1"/>
  <c r="F21" i="2"/>
  <c r="E21" i="2"/>
  <c r="D21" i="2"/>
  <c r="C21" i="2"/>
  <c r="B21" i="2"/>
  <c r="C20" i="2"/>
  <c r="E20" i="2"/>
  <c r="D20" i="2"/>
  <c r="B20" i="2"/>
  <c r="D17" i="2"/>
  <c r="B17" i="2"/>
  <c r="E17" i="2" s="1"/>
  <c r="F17" i="2" s="1"/>
  <c r="D16" i="2"/>
  <c r="B16" i="2"/>
  <c r="D15" i="2"/>
  <c r="B15" i="2"/>
  <c r="E15" i="2" s="1"/>
  <c r="F15" i="2" s="1"/>
  <c r="D14" i="2"/>
  <c r="B14" i="2"/>
  <c r="E14" i="2" s="1"/>
  <c r="F14" i="2" s="1"/>
  <c r="D13" i="2"/>
  <c r="D12" i="2"/>
  <c r="B12" i="2"/>
  <c r="E12" i="2" s="1"/>
  <c r="F12" i="2" s="1"/>
  <c r="D11" i="2"/>
  <c r="B11" i="2"/>
  <c r="E11" i="2" s="1"/>
  <c r="F11" i="2" s="1"/>
  <c r="D10" i="2"/>
  <c r="B10" i="2"/>
  <c r="E10" i="2" s="1"/>
  <c r="F10" i="2" s="1"/>
  <c r="D9" i="2"/>
  <c r="B9" i="2"/>
  <c r="E9" i="2" s="1"/>
  <c r="F9" i="2" s="1"/>
  <c r="D8" i="2"/>
  <c r="B43" i="2" l="1"/>
  <c r="C43" i="2" s="1"/>
  <c r="E38" i="2"/>
  <c r="F38" i="2" s="1"/>
  <c r="E16" i="2"/>
  <c r="F16" i="2" s="1"/>
  <c r="B13" i="2"/>
  <c r="E13" i="2" s="1"/>
  <c r="F13" i="2" s="1"/>
  <c r="B8" i="2"/>
  <c r="E8" i="2" s="1"/>
  <c r="F8" i="2" s="1"/>
  <c r="F43" i="2" l="1"/>
  <c r="F20" i="2"/>
</calcChain>
</file>

<file path=xl/sharedStrings.xml><?xml version="1.0" encoding="utf-8"?>
<sst xmlns="http://purl.oclc.org/ooxml/spreadsheetml/main" count="67" uniqueCount="31">
  <si>
    <t>1.- ¿A quién debe Maddux realizar el pedido de los programas y cuántos debe encargar cada vez?</t>
  </si>
  <si>
    <t>EOQ</t>
  </si>
  <si>
    <t>QP</t>
  </si>
  <si>
    <t>FP</t>
  </si>
  <si>
    <t>EMPRESA</t>
  </si>
  <si>
    <t>Demanda anual (D)</t>
  </si>
  <si>
    <t>Costo de instalación (S)</t>
  </si>
  <si>
    <t>Costo de mantenimiento (H)</t>
  </si>
  <si>
    <t>No. de órdenes anual (D/Q)</t>
  </si>
  <si>
    <t>Costo anual mantener (Q/2)H</t>
  </si>
  <si>
    <t>Costo del producto (PD)</t>
  </si>
  <si>
    <t>COSTO TOTAL</t>
  </si>
  <si>
    <t>RESPUESTA:</t>
  </si>
  <si>
    <t>EXPLICACIÓN:</t>
  </si>
  <si>
    <t>(2DS)/H</t>
  </si>
  <si>
    <t>2.- ¿A quién debe Maddux realizar el pedido de los insertos y cuántos debe encargar cada vez?</t>
  </si>
  <si>
    <t xml:space="preserve">QP </t>
  </si>
  <si>
    <t>Costo anual de preparación (D/Q)S</t>
  </si>
  <si>
    <t>A First Printing encargando un aproximado de 22, 822 cada vez</t>
  </si>
  <si>
    <t>A First Printing encargando un aproximado de 25211 cada vez</t>
  </si>
  <si>
    <t>3. ¿Cuál es el costo total de Maddux para los programas con insertos para la temporada?</t>
  </si>
  <si>
    <t>4. ¿Qué otras oportunidades de gestión de programas podría seguir Maddux?</t>
  </si>
  <si>
    <t>Contratos a largo plazo: Negociar con descuentos adicionales.</t>
  </si>
  <si>
    <t>Publicidad: Durante los programas, absorber costos y aumentar el margen.</t>
  </si>
  <si>
    <t>.</t>
  </si>
  <si>
    <t>Digitalización: Ofrecer versiones digitales para los programas, sustituyendo la impresión física.</t>
  </si>
  <si>
    <t>Pérdidas y pendientes de 11 millones</t>
  </si>
  <si>
    <t xml:space="preserve">Costos exceso de inventarios de 10 millones </t>
  </si>
  <si>
    <t>Insatisfacción al cliente cuando no hay un artículo</t>
  </si>
  <si>
    <t>1. ERREÓNEO PRONÓSTICO EN LA DEMANDA</t>
  </si>
  <si>
    <t>Podrían hacer la relación entre la demanda real y la demanda pronosticada utilizando la distribución de errores históricos de previsión.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</si>
</sst>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start/>
      <end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I55"/>
  <sheetViews>
    <sheetView zoomScale="55" zoomScaleNormal="55" workbookViewId="0">
      <selection activeCell="A2" sqref="A2:F3"/>
    </sheetView>
  </sheetViews>
  <sheetFormatPr baseColWidth="10" defaultRowHeight="15" x14ac:dyDescent="0.25"/>
  <cols>
    <col min="1" max="1" width="13.28515625" bestFit="1" customWidth="1"/>
    <col min="2" max="2" width="25.5703125" bestFit="1" customWidth="1"/>
    <col min="3" max="3" width="27.5703125" bestFit="1" customWidth="1"/>
    <col min="4" max="4" width="26.5703125" bestFit="1" customWidth="1"/>
    <col min="5" max="5" width="22.28515625" bestFit="1" customWidth="1"/>
    <col min="6" max="6" width="19.5703125" bestFit="1" customWidth="1"/>
  </cols>
  <sheetData>
    <row r="2" spans="1:9" x14ac:dyDescent="0.25">
      <c r="A2" s="5" t="s">
        <v>0</v>
      </c>
      <c r="B2" s="5"/>
      <c r="C2" s="5"/>
      <c r="D2" s="5"/>
      <c r="E2" s="5"/>
      <c r="F2" s="5"/>
      <c r="G2" s="2"/>
      <c r="H2" s="2"/>
      <c r="I2" s="2"/>
    </row>
    <row r="3" spans="1:9" x14ac:dyDescent="0.25">
      <c r="A3" s="5"/>
      <c r="B3" s="5"/>
      <c r="C3" s="5"/>
      <c r="D3" s="5"/>
      <c r="E3" s="5"/>
      <c r="F3" s="5"/>
      <c r="G3" s="2"/>
      <c r="H3" s="2"/>
      <c r="I3" s="2"/>
    </row>
    <row r="4" spans="1:9" x14ac:dyDescent="0.25">
      <c r="A4" t="s">
        <v>12</v>
      </c>
      <c r="B4" t="s">
        <v>18</v>
      </c>
    </row>
    <row r="6" spans="1:9" x14ac:dyDescent="0.25">
      <c r="A6" t="s">
        <v>13</v>
      </c>
    </row>
    <row r="7" spans="1:9" x14ac:dyDescent="0.25">
      <c r="A7" t="s">
        <v>4</v>
      </c>
      <c r="B7" t="s">
        <v>5</v>
      </c>
      <c r="C7" t="s">
        <v>6</v>
      </c>
      <c r="D7" t="s">
        <v>7</v>
      </c>
      <c r="E7" t="s">
        <v>14</v>
      </c>
      <c r="F7" t="s">
        <v>1</v>
      </c>
    </row>
    <row r="8" spans="1:9" x14ac:dyDescent="0.25">
      <c r="A8" t="s">
        <v>16</v>
      </c>
      <c r="B8">
        <f>60000*5</f>
        <v>300000</v>
      </c>
      <c r="C8">
        <v>1000</v>
      </c>
      <c r="D8">
        <f>6*0.4</f>
        <v>2.4000000000000004</v>
      </c>
      <c r="E8" s="4">
        <f>(2*B8*C8)/D8</f>
        <v>249999999.99999997</v>
      </c>
      <c r="F8" s="4">
        <f>SQRT(E8)</f>
        <v>15811.388300841896</v>
      </c>
    </row>
    <row r="9" spans="1:9" x14ac:dyDescent="0.25">
      <c r="A9" t="s">
        <v>16</v>
      </c>
      <c r="B9">
        <f>60000*5</f>
        <v>300000</v>
      </c>
      <c r="C9">
        <v>1000</v>
      </c>
      <c r="D9">
        <f>5.5*0.4</f>
        <v>2.2000000000000002</v>
      </c>
      <c r="E9" s="4">
        <f>(2*B9*C9)/D9</f>
        <v>272727272.72727269</v>
      </c>
      <c r="F9" s="4">
        <f>SQRT(E9)</f>
        <v>16514.456476895408</v>
      </c>
    </row>
    <row r="10" spans="1:9" x14ac:dyDescent="0.25">
      <c r="A10" t="s">
        <v>16</v>
      </c>
      <c r="B10">
        <f>60000*5</f>
        <v>300000</v>
      </c>
      <c r="C10">
        <v>1000</v>
      </c>
      <c r="D10">
        <f>5*0.4</f>
        <v>2</v>
      </c>
      <c r="E10" s="4">
        <f>(2*B10*C10)/D10</f>
        <v>300000000</v>
      </c>
      <c r="F10" s="4">
        <f>SQRT(E10)</f>
        <v>17320.508075688773</v>
      </c>
    </row>
    <row r="11" spans="1:9" x14ac:dyDescent="0.25">
      <c r="A11" t="s">
        <v>16</v>
      </c>
      <c r="B11">
        <f>60000*5</f>
        <v>300000</v>
      </c>
      <c r="C11">
        <v>1000</v>
      </c>
      <c r="D11">
        <f>4.5*0.4</f>
        <v>1.8</v>
      </c>
      <c r="E11" s="4">
        <f>(2*B11*C11)/D11</f>
        <v>333333333.33333331</v>
      </c>
      <c r="F11" s="4">
        <f>SQRT(E11)</f>
        <v>18257.418583505536</v>
      </c>
    </row>
    <row r="12" spans="1:9" x14ac:dyDescent="0.25">
      <c r="A12" t="s">
        <v>16</v>
      </c>
      <c r="B12">
        <f>60000*5</f>
        <v>300000</v>
      </c>
      <c r="C12">
        <v>1000</v>
      </c>
      <c r="D12">
        <f>4*0.4</f>
        <v>1.6</v>
      </c>
      <c r="E12" s="4">
        <f>(2*B12*C12)/D12</f>
        <v>375000000</v>
      </c>
      <c r="F12" s="4">
        <f>SQRT(E12)</f>
        <v>19364.916731037083</v>
      </c>
    </row>
    <row r="13" spans="1:9" x14ac:dyDescent="0.25">
      <c r="A13" t="s">
        <v>3</v>
      </c>
      <c r="B13">
        <f>60000*5</f>
        <v>300000</v>
      </c>
      <c r="C13">
        <v>1250</v>
      </c>
      <c r="D13">
        <f>5.4*0.4</f>
        <v>2.16</v>
      </c>
      <c r="E13" s="4">
        <f>(2*B13*C13)/D13</f>
        <v>347222222.22222221</v>
      </c>
      <c r="F13" s="4">
        <f>SQRT(E13)</f>
        <v>18633.899812498246</v>
      </c>
    </row>
    <row r="14" spans="1:9" x14ac:dyDescent="0.25">
      <c r="A14" t="s">
        <v>3</v>
      </c>
      <c r="B14">
        <f>60000*5</f>
        <v>300000</v>
      </c>
      <c r="C14">
        <v>1250</v>
      </c>
      <c r="D14">
        <f>4.95*0.4</f>
        <v>1.9800000000000002</v>
      </c>
      <c r="E14" s="4">
        <f>(2*B14*C14)/D14</f>
        <v>378787878.78787875</v>
      </c>
      <c r="F14" s="4">
        <f>SQRT(E14)</f>
        <v>19462.473604038074</v>
      </c>
    </row>
    <row r="15" spans="1:9" x14ac:dyDescent="0.25">
      <c r="A15" t="s">
        <v>3</v>
      </c>
      <c r="B15">
        <f>60000*5</f>
        <v>300000</v>
      </c>
      <c r="C15">
        <v>1250</v>
      </c>
      <c r="D15">
        <f>4.5*0.4</f>
        <v>1.8</v>
      </c>
      <c r="E15" s="4">
        <f>(2*B15*C15)/D15</f>
        <v>416666666.66666663</v>
      </c>
      <c r="F15" s="4">
        <f>SQRT(E15)</f>
        <v>20412.414523193151</v>
      </c>
    </row>
    <row r="16" spans="1:9" x14ac:dyDescent="0.25">
      <c r="A16" t="s">
        <v>3</v>
      </c>
      <c r="B16">
        <f>60000*5</f>
        <v>300000</v>
      </c>
      <c r="C16">
        <v>1250</v>
      </c>
      <c r="D16">
        <f>4.05*0.4</f>
        <v>1.62</v>
      </c>
      <c r="E16" s="4">
        <f>(2*B16*C16)/D16</f>
        <v>462962962.96296293</v>
      </c>
      <c r="F16" s="4">
        <f>SQRT(E16)</f>
        <v>21516.574145596758</v>
      </c>
    </row>
    <row r="17" spans="1:6" x14ac:dyDescent="0.25">
      <c r="A17" t="s">
        <v>3</v>
      </c>
      <c r="B17">
        <f>60000*5</f>
        <v>300000</v>
      </c>
      <c r="C17">
        <v>1250</v>
      </c>
      <c r="D17">
        <f>3.6*0.4</f>
        <v>1.4400000000000002</v>
      </c>
      <c r="E17" s="4">
        <f>(2*B17*C17)/D17</f>
        <v>520833333.33333325</v>
      </c>
      <c r="F17" s="4">
        <f>SQRT(E17)</f>
        <v>22821.773229381921</v>
      </c>
    </row>
    <row r="18" spans="1:6" x14ac:dyDescent="0.25">
      <c r="E18" s="4"/>
      <c r="F18" s="4"/>
    </row>
    <row r="19" spans="1:6" x14ac:dyDescent="0.25">
      <c r="A19" t="s">
        <v>4</v>
      </c>
      <c r="B19" t="s">
        <v>8</v>
      </c>
      <c r="C19" t="s">
        <v>17</v>
      </c>
      <c r="D19" t="s">
        <v>9</v>
      </c>
      <c r="E19" t="s">
        <v>10</v>
      </c>
      <c r="F19" t="s">
        <v>11</v>
      </c>
    </row>
    <row r="20" spans="1:6" x14ac:dyDescent="0.25">
      <c r="A20" t="s">
        <v>2</v>
      </c>
      <c r="B20" s="4">
        <f>B12/F12</f>
        <v>15.491933384829668</v>
      </c>
      <c r="C20" s="4">
        <f>B20*C8</f>
        <v>15491.933384829668</v>
      </c>
      <c r="D20" s="4">
        <f>(F12/2)*D12</f>
        <v>15491.933384829666</v>
      </c>
      <c r="E20">
        <f>B8*4</f>
        <v>1200000</v>
      </c>
      <c r="F20" s="1">
        <f>SUM(C20:E20)</f>
        <v>1230983.8667696593</v>
      </c>
    </row>
    <row r="21" spans="1:6" x14ac:dyDescent="0.25">
      <c r="A21" t="s">
        <v>3</v>
      </c>
      <c r="B21" s="4">
        <f>B17/F17</f>
        <v>13.145341380123988</v>
      </c>
      <c r="C21" s="4">
        <f>B21*(C17)</f>
        <v>16431.676725154983</v>
      </c>
      <c r="D21" s="3">
        <f>(F17/2)*D17</f>
        <v>16431.676725154986</v>
      </c>
      <c r="E21">
        <f>B13*3.6</f>
        <v>1080000</v>
      </c>
      <c r="F21" s="1">
        <f>SUM(C21:E21)</f>
        <v>1112863.35345031</v>
      </c>
    </row>
    <row r="24" spans="1:6" x14ac:dyDescent="0.25">
      <c r="A24" s="5" t="s">
        <v>15</v>
      </c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t="s">
        <v>12</v>
      </c>
      <c r="B26" t="s">
        <v>19</v>
      </c>
    </row>
    <row r="28" spans="1:6" x14ac:dyDescent="0.25">
      <c r="A28" t="s">
        <v>13</v>
      </c>
    </row>
    <row r="29" spans="1:6" x14ac:dyDescent="0.25">
      <c r="A29" t="s">
        <v>4</v>
      </c>
      <c r="B29" t="s">
        <v>5</v>
      </c>
      <c r="C29" t="s">
        <v>6</v>
      </c>
      <c r="D29" t="s">
        <v>7</v>
      </c>
      <c r="E29" t="s">
        <v>14</v>
      </c>
      <c r="F29" t="s">
        <v>1</v>
      </c>
    </row>
    <row r="30" spans="1:6" x14ac:dyDescent="0.25">
      <c r="A30" t="s">
        <v>16</v>
      </c>
      <c r="B30">
        <f>60000*5</f>
        <v>300000</v>
      </c>
      <c r="C30">
        <v>500</v>
      </c>
      <c r="D30">
        <f>3*0.4</f>
        <v>1.2000000000000002</v>
      </c>
      <c r="E30" s="4">
        <f>(2*B30*C30)/D30</f>
        <v>249999999.99999997</v>
      </c>
      <c r="F30" s="4">
        <f>SQRT(E30)</f>
        <v>15811.388300841896</v>
      </c>
    </row>
    <row r="31" spans="1:6" x14ac:dyDescent="0.25">
      <c r="A31" t="s">
        <v>16</v>
      </c>
      <c r="B31">
        <f>60000*5</f>
        <v>300000</v>
      </c>
      <c r="C31">
        <v>500</v>
      </c>
      <c r="D31">
        <f>2.75*0.4</f>
        <v>1.1000000000000001</v>
      </c>
      <c r="E31" s="4">
        <f>(2*B31*C31)/D31</f>
        <v>272727272.72727269</v>
      </c>
      <c r="F31" s="4">
        <f>SQRT(E31)</f>
        <v>16514.456476895408</v>
      </c>
    </row>
    <row r="32" spans="1:6" x14ac:dyDescent="0.25">
      <c r="A32" t="s">
        <v>16</v>
      </c>
      <c r="B32">
        <f>60000*5</f>
        <v>300000</v>
      </c>
      <c r="C32">
        <v>500</v>
      </c>
      <c r="D32">
        <f>2.5*0.4</f>
        <v>1</v>
      </c>
      <c r="E32" s="4">
        <f>(2*B32*C32)/D32</f>
        <v>300000000</v>
      </c>
      <c r="F32" s="4">
        <f>SQRT(E32)</f>
        <v>17320.508075688773</v>
      </c>
    </row>
    <row r="33" spans="1:6" x14ac:dyDescent="0.25">
      <c r="A33" t="s">
        <v>16</v>
      </c>
      <c r="B33">
        <f>60000*5</f>
        <v>300000</v>
      </c>
      <c r="C33">
        <v>500</v>
      </c>
      <c r="D33">
        <f>2.25*0.4</f>
        <v>0.9</v>
      </c>
      <c r="E33" s="4">
        <f>(2*B33*C33)/D33</f>
        <v>333333333.33333331</v>
      </c>
      <c r="F33" s="4">
        <f>SQRT(E33)</f>
        <v>18257.418583505536</v>
      </c>
    </row>
    <row r="34" spans="1:6" x14ac:dyDescent="0.25">
      <c r="A34" t="s">
        <v>16</v>
      </c>
      <c r="B34">
        <f>60000*5</f>
        <v>300000</v>
      </c>
      <c r="C34">
        <v>500</v>
      </c>
      <c r="D34">
        <f>2*0.4</f>
        <v>0.8</v>
      </c>
      <c r="E34" s="4">
        <f>(2*B34*C34)/D34</f>
        <v>375000000</v>
      </c>
      <c r="F34" s="4">
        <f>SQRT(E34)</f>
        <v>19364.916731037083</v>
      </c>
    </row>
    <row r="35" spans="1:6" x14ac:dyDescent="0.25">
      <c r="A35" t="s">
        <v>3</v>
      </c>
      <c r="B35">
        <f>60000*5</f>
        <v>300000</v>
      </c>
      <c r="C35">
        <f>500+250</f>
        <v>750</v>
      </c>
      <c r="D35">
        <f>2.7*0.4</f>
        <v>1.08</v>
      </c>
      <c r="E35" s="4">
        <f>(2*B35*C35)/D35</f>
        <v>416666666.66666663</v>
      </c>
      <c r="F35" s="4">
        <f>SQRT(E35)</f>
        <v>20412.414523193151</v>
      </c>
    </row>
    <row r="36" spans="1:6" x14ac:dyDescent="0.25">
      <c r="A36" t="s">
        <v>3</v>
      </c>
      <c r="B36">
        <f>60000*5</f>
        <v>300000</v>
      </c>
      <c r="C36">
        <f t="shared" ref="C36:C39" si="0">500+250</f>
        <v>750</v>
      </c>
      <c r="D36">
        <f>2.43*0.4</f>
        <v>0.97200000000000009</v>
      </c>
      <c r="E36" s="4">
        <f>(2*B36*C36)/D36</f>
        <v>462962962.96296293</v>
      </c>
      <c r="F36" s="4">
        <f>SQRT(E36)</f>
        <v>21516.574145596758</v>
      </c>
    </row>
    <row r="37" spans="1:6" x14ac:dyDescent="0.25">
      <c r="A37" t="s">
        <v>3</v>
      </c>
      <c r="B37">
        <f>60000*5</f>
        <v>300000</v>
      </c>
      <c r="C37">
        <f t="shared" si="0"/>
        <v>750</v>
      </c>
      <c r="D37">
        <f>2.187*0.4</f>
        <v>0.87480000000000002</v>
      </c>
      <c r="E37" s="4">
        <f>(2*B37*C37)/D37</f>
        <v>514403292.18106997</v>
      </c>
      <c r="F37" s="4">
        <f>SQRT(E37)</f>
        <v>22680.460581325722</v>
      </c>
    </row>
    <row r="38" spans="1:6" x14ac:dyDescent="0.25">
      <c r="A38" t="s">
        <v>3</v>
      </c>
      <c r="B38">
        <f>60000*5</f>
        <v>300000</v>
      </c>
      <c r="C38">
        <f t="shared" si="0"/>
        <v>750</v>
      </c>
      <c r="D38">
        <f>1.97*0.4</f>
        <v>0.78800000000000003</v>
      </c>
      <c r="E38" s="4">
        <f>(2*B38*C38)/D38</f>
        <v>571065989.84771574</v>
      </c>
      <c r="F38" s="4">
        <f>SQRT(E38)</f>
        <v>23896.987045393729</v>
      </c>
    </row>
    <row r="39" spans="1:6" x14ac:dyDescent="0.25">
      <c r="A39" t="s">
        <v>3</v>
      </c>
      <c r="B39">
        <f>60000*5</f>
        <v>300000</v>
      </c>
      <c r="C39">
        <f t="shared" si="0"/>
        <v>750</v>
      </c>
      <c r="D39">
        <f>1.77*0.4</f>
        <v>0.70800000000000007</v>
      </c>
      <c r="E39" s="4">
        <f>(2*B39*C39)/D39</f>
        <v>635593220.33898294</v>
      </c>
      <c r="F39" s="4">
        <f>SQRT(E39)</f>
        <v>25210.974204480535</v>
      </c>
    </row>
    <row r="41" spans="1:6" x14ac:dyDescent="0.25">
      <c r="A41" t="s">
        <v>4</v>
      </c>
      <c r="B41" t="s">
        <v>8</v>
      </c>
      <c r="C41" t="s">
        <v>17</v>
      </c>
      <c r="D41" t="s">
        <v>9</v>
      </c>
      <c r="E41" t="s">
        <v>10</v>
      </c>
      <c r="F41" t="s">
        <v>11</v>
      </c>
    </row>
    <row r="42" spans="1:6" x14ac:dyDescent="0.25">
      <c r="A42" t="s">
        <v>2</v>
      </c>
      <c r="B42" s="4">
        <f>B34/F34</f>
        <v>15.491933384829668</v>
      </c>
      <c r="C42" s="4">
        <f>B42*C30</f>
        <v>7745.9666924148341</v>
      </c>
      <c r="D42" s="4">
        <f>(F34/2)*D34</f>
        <v>7745.9666924148332</v>
      </c>
      <c r="E42">
        <f>B34*2</f>
        <v>600000</v>
      </c>
      <c r="F42" s="1">
        <f>SUM(C42:E42)</f>
        <v>615491.93338482967</v>
      </c>
    </row>
    <row r="43" spans="1:6" x14ac:dyDescent="0.25">
      <c r="A43" t="s">
        <v>3</v>
      </c>
      <c r="B43" s="4">
        <f>B39/F39</f>
        <v>11.899579824514815</v>
      </c>
      <c r="C43" s="4">
        <f>B43*(C39)</f>
        <v>8924.6848683861117</v>
      </c>
      <c r="D43" s="3">
        <f>(F39/2)*D39</f>
        <v>8924.6848683861099</v>
      </c>
      <c r="E43">
        <f>B39*1.77</f>
        <v>531000</v>
      </c>
      <c r="F43" s="1">
        <f>SUM(C43:E43)</f>
        <v>548849.36973677226</v>
      </c>
    </row>
    <row r="46" spans="1:6" x14ac:dyDescent="0.25">
      <c r="A46" s="5" t="s">
        <v>20</v>
      </c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B48" s="6">
        <f>F21+F43</f>
        <v>1661712.7231870822</v>
      </c>
      <c r="E48" t="s">
        <v>24</v>
      </c>
    </row>
    <row r="49" spans="1:6" x14ac:dyDescent="0.25">
      <c r="C49" s="6"/>
    </row>
    <row r="51" spans="1:6" x14ac:dyDescent="0.25">
      <c r="A51" s="5" t="s">
        <v>21</v>
      </c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t="s">
        <v>22</v>
      </c>
    </row>
    <row r="54" spans="1:6" x14ac:dyDescent="0.25">
      <c r="A54" t="s">
        <v>23</v>
      </c>
    </row>
    <row r="55" spans="1:6" x14ac:dyDescent="0.25">
      <c r="A55" t="s">
        <v>25</v>
      </c>
    </row>
  </sheetData>
  <mergeCells count="4">
    <mergeCell ref="A2:F3"/>
    <mergeCell ref="A24:F25"/>
    <mergeCell ref="A46:F47"/>
    <mergeCell ref="A51:F5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D11" sqref="D11"/>
    </sheetView>
  </sheetViews>
  <sheetFormatPr baseColWidth="10" defaultRowHeight="15" x14ac:dyDescent="0.25"/>
  <sheetData>
    <row r="2" spans="1:1" x14ac:dyDescent="0.25">
      <c r="A2" t="s">
        <v>29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7" spans="1:1" x14ac:dyDescent="0.25">
      <c r="A7" t="s">
        <v>30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SOUTHWESTERN </vt:lpstr>
      <vt:lpstr>LL BEAN INC.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2024-05-22T17:57:51Z</dcterms:created>
  <dcterms:modified xsi:type="dcterms:W3CDTF">2024-05-28T05:58:06Z</dcterms:modified>
</cp:coreProperties>
</file>