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sdan\Pictures\Osdaez\INEF\4TO SEM\CADENA DE SUMINISTROS\"/>
    </mc:Choice>
  </mc:AlternateContent>
  <xr:revisionPtr revIDLastSave="0" documentId="13_ncr:1_{66320978-D931-4134-AA7F-6D9A9F9AAC72}" xr6:coauthVersionLast="47" xr6:coauthVersionMax="47" xr10:uidLastSave="{00000000-0000-0000-0000-000000000000}"/>
  <bookViews>
    <workbookView xWindow="-108" yWindow="-108" windowWidth="23256" windowHeight="12456" activeTab="3" xr2:uid="{223C0DB8-4FC0-4070-9EB7-DC6DE2971A61}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I12" i="5" s="1"/>
  <c r="I14" i="5" s="1"/>
  <c r="K12" i="5" s="1"/>
  <c r="K13" i="5"/>
  <c r="I13" i="5"/>
  <c r="F13" i="5"/>
  <c r="F12" i="5"/>
  <c r="F11" i="5"/>
  <c r="F10" i="5"/>
  <c r="I9" i="5"/>
  <c r="M13" i="5" s="1"/>
  <c r="F9" i="5"/>
  <c r="L6" i="5"/>
  <c r="O19" i="4"/>
  <c r="P19" i="4" s="1"/>
  <c r="N10" i="4" s="1"/>
  <c r="N19" i="4"/>
  <c r="M19" i="4"/>
  <c r="L19" i="4"/>
  <c r="K19" i="4"/>
  <c r="J19" i="4"/>
  <c r="I19" i="4"/>
  <c r="O15" i="4"/>
  <c r="P15" i="4" s="1"/>
  <c r="N9" i="4" s="1"/>
  <c r="N15" i="4"/>
  <c r="M15" i="4"/>
  <c r="L15" i="4"/>
  <c r="K15" i="4"/>
  <c r="J15" i="4"/>
  <c r="I15" i="4"/>
  <c r="S14" i="4"/>
  <c r="F14" i="4"/>
  <c r="F13" i="4"/>
  <c r="M10" i="4"/>
  <c r="O10" i="4" s="1"/>
  <c r="M9" i="4"/>
  <c r="S8" i="4"/>
  <c r="L8" i="4"/>
  <c r="K8" i="4"/>
  <c r="M8" i="4" s="1"/>
  <c r="O8" i="4" s="1"/>
  <c r="I35" i="3"/>
  <c r="J35" i="3" s="1"/>
  <c r="I34" i="3"/>
  <c r="J34" i="3" s="1"/>
  <c r="T32" i="3"/>
  <c r="F33" i="3" s="1"/>
  <c r="G33" i="3" s="1"/>
  <c r="S32" i="3"/>
  <c r="R32" i="3"/>
  <c r="Q32" i="3"/>
  <c r="I32" i="3"/>
  <c r="J32" i="3" s="1"/>
  <c r="S31" i="3"/>
  <c r="R31" i="3"/>
  <c r="Q31" i="3"/>
  <c r="T31" i="3" s="1"/>
  <c r="F31" i="3" s="1"/>
  <c r="G31" i="3" s="1"/>
  <c r="K31" i="3"/>
  <c r="K32" i="3" s="1"/>
  <c r="K33" i="3" s="1"/>
  <c r="K34" i="3" s="1"/>
  <c r="K35" i="3" s="1"/>
  <c r="K30" i="3"/>
  <c r="G30" i="3"/>
  <c r="M30" i="3" s="1"/>
  <c r="S26" i="3"/>
  <c r="R26" i="3"/>
  <c r="T26" i="3" s="1"/>
  <c r="F23" i="3" s="1"/>
  <c r="G23" i="3" s="1"/>
  <c r="Q26" i="3"/>
  <c r="S25" i="3"/>
  <c r="R25" i="3"/>
  <c r="Q25" i="3"/>
  <c r="T25" i="3" s="1"/>
  <c r="F21" i="3" s="1"/>
  <c r="G21" i="3" s="1"/>
  <c r="I25" i="3"/>
  <c r="J25" i="3" s="1"/>
  <c r="I24" i="3"/>
  <c r="J24" i="3" s="1"/>
  <c r="J22" i="3"/>
  <c r="I22" i="3"/>
  <c r="S20" i="3"/>
  <c r="T20" i="3" s="1"/>
  <c r="F12" i="3" s="1"/>
  <c r="G12" i="3" s="1"/>
  <c r="R20" i="3"/>
  <c r="Q20" i="3"/>
  <c r="I20" i="3"/>
  <c r="J20" i="3" s="1"/>
  <c r="T19" i="3"/>
  <c r="F10" i="3" s="1"/>
  <c r="G10" i="3" s="1"/>
  <c r="S19" i="3"/>
  <c r="R19" i="3"/>
  <c r="Q19" i="3"/>
  <c r="K19" i="3"/>
  <c r="K20" i="3" s="1"/>
  <c r="K21" i="3" s="1"/>
  <c r="K22" i="3" s="1"/>
  <c r="K23" i="3" s="1"/>
  <c r="K24" i="3" s="1"/>
  <c r="K25" i="3" s="1"/>
  <c r="G19" i="3"/>
  <c r="M19" i="3" s="1"/>
  <c r="L8" i="3"/>
  <c r="I9" i="3" s="1"/>
  <c r="J9" i="3" s="1"/>
  <c r="K8" i="3"/>
  <c r="K9" i="3" s="1"/>
  <c r="K10" i="3" s="1"/>
  <c r="K11" i="3" s="1"/>
  <c r="K12" i="3" s="1"/>
  <c r="K13" i="3" s="1"/>
  <c r="K14" i="3" s="1"/>
  <c r="G8" i="3"/>
  <c r="M8" i="3" s="1"/>
  <c r="K16" i="2"/>
  <c r="H16" i="2"/>
  <c r="J15" i="2"/>
  <c r="K15" i="2" s="1"/>
  <c r="H15" i="2"/>
  <c r="K14" i="2"/>
  <c r="J14" i="2"/>
  <c r="H14" i="2"/>
  <c r="J13" i="2"/>
  <c r="K13" i="2" s="1"/>
  <c r="H13" i="2"/>
  <c r="K12" i="2"/>
  <c r="H12" i="2"/>
  <c r="K11" i="2"/>
  <c r="H11" i="2"/>
  <c r="K10" i="2"/>
  <c r="J10" i="2"/>
  <c r="H10" i="2"/>
  <c r="J9" i="2"/>
  <c r="K9" i="2" s="1"/>
  <c r="H9" i="2"/>
  <c r="K8" i="2"/>
  <c r="H8" i="2"/>
  <c r="M7" i="2"/>
  <c r="M8" i="2" s="1"/>
  <c r="L7" i="2"/>
  <c r="L8" i="2" s="1"/>
  <c r="L9" i="2" s="1"/>
  <c r="L10" i="2" s="1"/>
  <c r="L11" i="2" s="1"/>
  <c r="L12" i="2" s="1"/>
  <c r="L13" i="2" s="1"/>
  <c r="L14" i="2" s="1"/>
  <c r="L15" i="2" s="1"/>
  <c r="L16" i="2" s="1"/>
  <c r="K7" i="2"/>
  <c r="H7" i="2"/>
  <c r="J17" i="1"/>
  <c r="I17" i="1"/>
  <c r="G17" i="1"/>
  <c r="I16" i="1"/>
  <c r="J16" i="1" s="1"/>
  <c r="G16" i="1"/>
  <c r="J15" i="1"/>
  <c r="G15" i="1"/>
  <c r="J14" i="1"/>
  <c r="G14" i="1"/>
  <c r="J13" i="1"/>
  <c r="G13" i="1"/>
  <c r="J12" i="1"/>
  <c r="I12" i="1"/>
  <c r="G12" i="1"/>
  <c r="J11" i="1"/>
  <c r="G11" i="1"/>
  <c r="J10" i="1"/>
  <c r="G10" i="1"/>
  <c r="K9" i="1"/>
  <c r="K10" i="1" s="1"/>
  <c r="K11" i="1" s="1"/>
  <c r="K12" i="1" s="1"/>
  <c r="K13" i="1" s="1"/>
  <c r="K14" i="1" s="1"/>
  <c r="K15" i="1" s="1"/>
  <c r="K16" i="1" s="1"/>
  <c r="K17" i="1" s="1"/>
  <c r="J9" i="1"/>
  <c r="G9" i="1"/>
  <c r="K8" i="1"/>
  <c r="J8" i="1"/>
  <c r="G8" i="1"/>
  <c r="M7" i="1"/>
  <c r="M8" i="1" s="1"/>
  <c r="L7" i="1"/>
  <c r="K7" i="1"/>
  <c r="J7" i="1"/>
  <c r="G7" i="1"/>
  <c r="M12" i="5" l="1"/>
  <c r="M14" i="5" s="1"/>
  <c r="K14" i="5"/>
  <c r="O9" i="4"/>
  <c r="O11" i="4" s="1"/>
  <c r="M20" i="3"/>
  <c r="L19" i="3"/>
  <c r="L30" i="3"/>
  <c r="M31" i="3"/>
  <c r="M9" i="3"/>
  <c r="M9" i="2"/>
  <c r="M10" i="2" s="1"/>
  <c r="M11" i="2" s="1"/>
  <c r="M12" i="2" s="1"/>
  <c r="M13" i="2" s="1"/>
  <c r="M14" i="2" s="1"/>
  <c r="M15" i="2" s="1"/>
  <c r="M16" i="2" s="1"/>
  <c r="L8" i="1"/>
  <c r="M9" i="1"/>
  <c r="L9" i="5" l="1"/>
  <c r="J21" i="5" s="1"/>
  <c r="J18" i="5"/>
  <c r="K26" i="4"/>
  <c r="K24" i="4"/>
  <c r="M21" i="3"/>
  <c r="L20" i="3"/>
  <c r="L9" i="3"/>
  <c r="M10" i="3"/>
  <c r="M32" i="3"/>
  <c r="L31" i="3"/>
  <c r="M10" i="1"/>
  <c r="L9" i="1"/>
  <c r="M33" i="3" l="1"/>
  <c r="L32" i="3"/>
  <c r="L10" i="3"/>
  <c r="I11" i="3" s="1"/>
  <c r="J11" i="3" s="1"/>
  <c r="M11" i="3"/>
  <c r="L21" i="3"/>
  <c r="M22" i="3"/>
  <c r="L10" i="1"/>
  <c r="M11" i="1"/>
  <c r="M12" i="3" l="1"/>
  <c r="L11" i="3"/>
  <c r="L22" i="3"/>
  <c r="M23" i="3"/>
  <c r="L33" i="3"/>
  <c r="M34" i="3"/>
  <c r="L11" i="1"/>
  <c r="M12" i="1"/>
  <c r="M13" i="1" s="1"/>
  <c r="M35" i="3" l="1"/>
  <c r="L35" i="3" s="1"/>
  <c r="L34" i="3"/>
  <c r="L23" i="3"/>
  <c r="M24" i="3"/>
  <c r="L12" i="3"/>
  <c r="I13" i="3" s="1"/>
  <c r="J13" i="3" s="1"/>
  <c r="M13" i="3"/>
  <c r="M14" i="1"/>
  <c r="L13" i="1"/>
  <c r="L13" i="3" l="1"/>
  <c r="I14" i="3" s="1"/>
  <c r="J14" i="3" s="1"/>
  <c r="M14" i="3"/>
  <c r="L24" i="3"/>
  <c r="M25" i="3"/>
  <c r="L25" i="3" s="1"/>
  <c r="L14" i="1"/>
  <c r="M15" i="1"/>
  <c r="L15" i="1" l="1"/>
  <c r="M16" i="1"/>
  <c r="M17" i="1" l="1"/>
  <c r="L17" i="1" s="1"/>
  <c r="L16" i="1"/>
</calcChain>
</file>

<file path=xl/sharedStrings.xml><?xml version="1.0" encoding="utf-8"?>
<sst xmlns="http://schemas.openxmlformats.org/spreadsheetml/2006/main" count="247" uniqueCount="92">
  <si>
    <t>EJERCICIO 1 FIFO</t>
  </si>
  <si>
    <t>FECHA</t>
  </si>
  <si>
    <t>DETALLE</t>
  </si>
  <si>
    <t>ENTRADAS</t>
  </si>
  <si>
    <t>SALIDAS</t>
  </si>
  <si>
    <t>SALDOS</t>
  </si>
  <si>
    <t>CONCEPTO</t>
  </si>
  <si>
    <t>CANTIDAD</t>
  </si>
  <si>
    <t>VALOR UNITARIO</t>
  </si>
  <si>
    <t>VALOR TOTAL</t>
  </si>
  <si>
    <t>TOTAL</t>
  </si>
  <si>
    <t>Inventario inicial</t>
  </si>
  <si>
    <t>Compra</t>
  </si>
  <si>
    <t>Venta</t>
  </si>
  <si>
    <t>200 de 10.20</t>
  </si>
  <si>
    <t>50 de 10.20</t>
  </si>
  <si>
    <t>0 de 10.20</t>
  </si>
  <si>
    <t>0 de 10.80</t>
  </si>
  <si>
    <t>Devolución</t>
  </si>
  <si>
    <t>0 de 12.10</t>
  </si>
  <si>
    <t>240 de 12.40</t>
  </si>
  <si>
    <t>140 de 12.40</t>
  </si>
  <si>
    <t>FIFO</t>
  </si>
  <si>
    <t>SALDO</t>
  </si>
  <si>
    <t>No. Factura</t>
  </si>
  <si>
    <t>UNIDADES</t>
  </si>
  <si>
    <t>MONTO</t>
  </si>
  <si>
    <t>PRODUCTO A</t>
  </si>
  <si>
    <t>PRODUCTO B</t>
  </si>
  <si>
    <t>A</t>
  </si>
  <si>
    <t>Fecha</t>
  </si>
  <si>
    <t>Concepto</t>
  </si>
  <si>
    <t>Portes</t>
  </si>
  <si>
    <t>Seguros</t>
  </si>
  <si>
    <t>Embalajes</t>
  </si>
  <si>
    <t>Costo Neto</t>
  </si>
  <si>
    <t>B</t>
  </si>
  <si>
    <t>PRODUCTO C</t>
  </si>
  <si>
    <t>C</t>
  </si>
  <si>
    <t>COSTO  A</t>
  </si>
  <si>
    <t>MATERIA PRIMA</t>
  </si>
  <si>
    <t>GASTOS FIJOS (75%)</t>
  </si>
  <si>
    <t>Gastos fijos</t>
  </si>
  <si>
    <t>Tipo</t>
  </si>
  <si>
    <t>Total</t>
  </si>
  <si>
    <t>Almacen</t>
  </si>
  <si>
    <t>Amortizaciones</t>
  </si>
  <si>
    <t>inicio</t>
  </si>
  <si>
    <t>Reparaciones</t>
  </si>
  <si>
    <t>Final</t>
  </si>
  <si>
    <t>Materia prima</t>
  </si>
  <si>
    <t>Compras de consumibles</t>
  </si>
  <si>
    <t>Unidades</t>
  </si>
  <si>
    <t>Costo</t>
  </si>
  <si>
    <t>Suministro</t>
  </si>
  <si>
    <t>Compra materia prima</t>
  </si>
  <si>
    <t>Gastos inicio periodo</t>
  </si>
  <si>
    <t xml:space="preserve">Mano de obra </t>
  </si>
  <si>
    <t>Amortización</t>
  </si>
  <si>
    <t>Consumibles</t>
  </si>
  <si>
    <t>Suministros</t>
  </si>
  <si>
    <t>Mano obra</t>
  </si>
  <si>
    <t>Gasto total</t>
  </si>
  <si>
    <t>Gasto total al 75%</t>
  </si>
  <si>
    <t>Aumento 1</t>
  </si>
  <si>
    <t>Producción</t>
  </si>
  <si>
    <t>Gastos final del periodo</t>
  </si>
  <si>
    <t>Aumento 2</t>
  </si>
  <si>
    <t>Costo total de producción</t>
  </si>
  <si>
    <t>Costo unitario</t>
  </si>
  <si>
    <t>Prod. 100%</t>
  </si>
  <si>
    <t>Precio de  venta unitario</t>
  </si>
  <si>
    <t>Precio unidad</t>
  </si>
  <si>
    <t xml:space="preserve">MATERIA P </t>
  </si>
  <si>
    <t>Prod. 75%</t>
  </si>
  <si>
    <t>Margen Unitario</t>
  </si>
  <si>
    <t>X</t>
  </si>
  <si>
    <t>Margen</t>
  </si>
  <si>
    <t>Costo de venta total</t>
  </si>
  <si>
    <t>Costo de venta unitario</t>
  </si>
  <si>
    <t>Costo de V. unitario al 75%</t>
  </si>
  <si>
    <t>G</t>
  </si>
  <si>
    <t>MAT</t>
  </si>
  <si>
    <t>Costo Venta T.</t>
  </si>
  <si>
    <t>F</t>
  </si>
  <si>
    <t>MOD</t>
  </si>
  <si>
    <t>Costo unidad</t>
  </si>
  <si>
    <t>Mano de obra directa</t>
  </si>
  <si>
    <t>Punto de equilibrio al 75% de producción</t>
  </si>
  <si>
    <t>Gasto</t>
  </si>
  <si>
    <t>Gastos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</si>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</sst>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/>
      <name val="Arial"/>
      <family val="2"/>
    </font>
    <font>
      <sz val="11"/>
      <color theme="0" tint="-4.9989318521683403E-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0" fontId="3" fillId="0" borderId="1" xfId="3" applyNumberFormat="1" applyFont="1" applyBorder="1"/>
    <xf numFmtId="1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7" borderId="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8" xfId="0" applyBorder="1" applyAlignment="1">
      <alignment horizontal="left" vertical="top"/>
    </xf>
    <xf numFmtId="44" fontId="0" fillId="0" borderId="0" xfId="2" applyFont="1"/>
    <xf numFmtId="43" fontId="0" fillId="0" borderId="1" xfId="1" applyFont="1" applyBorder="1"/>
    <xf numFmtId="44" fontId="0" fillId="0" borderId="1" xfId="2" applyFont="1" applyBorder="1"/>
    <xf numFmtId="43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0" fillId="0" borderId="0" xfId="2" applyFont="1" applyFill="1" applyBorder="1"/>
    <xf numFmtId="44" fontId="1" fillId="0" borderId="1" xfId="2" applyFont="1" applyBorder="1" applyAlignment="1">
      <alignment horizontal="center"/>
    </xf>
    <xf numFmtId="44" fontId="3" fillId="0" borderId="1" xfId="0" applyNumberFormat="1" applyFont="1" applyBorder="1"/>
    <xf numFmtId="44" fontId="0" fillId="0" borderId="1" xfId="0" applyNumberFormat="1" applyBorder="1"/>
    <xf numFmtId="44" fontId="3" fillId="0" borderId="1" xfId="2" applyFont="1" applyBorder="1"/>
    <xf numFmtId="44" fontId="0" fillId="0" borderId="0" xfId="0" applyNumberFormat="1"/>
    <xf numFmtId="44" fontId="3" fillId="8" borderId="0" xfId="0" applyNumberFormat="1" applyFont="1" applyFill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43" fontId="3" fillId="0" borderId="8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0" fillId="0" borderId="0" xfId="0" applyNumberFormat="1"/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9" borderId="0" xfId="0" applyFont="1" applyFill="1" applyAlignment="1">
      <alignment horizontal="center" vertical="center"/>
    </xf>
    <xf numFmtId="0" fontId="3" fillId="7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3" fontId="3" fillId="6" borderId="6" xfId="1" applyFont="1" applyFill="1" applyBorder="1" applyAlignment="1">
      <alignment horizontal="center" vertical="center"/>
    </xf>
    <xf numFmtId="43" fontId="3" fillId="6" borderId="10" xfId="1" applyFont="1" applyFill="1" applyBorder="1" applyAlignment="1">
      <alignment horizontal="center" vertical="center"/>
    </xf>
    <xf numFmtId="44" fontId="3" fillId="6" borderId="7" xfId="0" applyNumberFormat="1" applyFont="1" applyFill="1" applyBorder="1" applyAlignment="1">
      <alignment horizontal="center" vertical="center"/>
    </xf>
    <xf numFmtId="44" fontId="3" fillId="6" borderId="8" xfId="0" applyNumberFormat="1" applyFont="1" applyFill="1" applyBorder="1" applyAlignment="1">
      <alignment horizontal="center" vertical="center"/>
    </xf>
    <xf numFmtId="43" fontId="2" fillId="10" borderId="6" xfId="1" applyFont="1" applyFill="1" applyBorder="1" applyAlignment="1">
      <alignment horizontal="center" vertical="center"/>
    </xf>
    <xf numFmtId="43" fontId="2" fillId="10" borderId="10" xfId="1" applyFont="1" applyFill="1" applyBorder="1" applyAlignment="1">
      <alignment horizontal="center" vertical="center"/>
    </xf>
    <xf numFmtId="44" fontId="2" fillId="10" borderId="7" xfId="0" applyNumberFormat="1" applyFont="1" applyFill="1" applyBorder="1" applyAlignment="1">
      <alignment horizontal="center" vertical="center"/>
    </xf>
    <xf numFmtId="44" fontId="2" fillId="10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6">
    <cellStyle name="Millares" xfId="1" builtinId="3"/>
    <cellStyle name="Millares 2" xfId="4" xr:uid="{9A84C9F4-246F-450D-9CA2-10B8F1EF3262}"/>
    <cellStyle name="Moneda" xfId="2" builtinId="4"/>
    <cellStyle name="Moneda 2" xfId="5" xr:uid="{AA08C9DA-7BE4-4711-8063-0494BE366D66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1C4E-CE6B-4D94-B5E2-068829189252}">
  <dimension ref="B3:N17"/>
  <sheetViews>
    <sheetView zoomScaleNormal="100" workbookViewId="0">
      <selection activeCell="K27" sqref="K27"/>
    </sheetView>
  </sheetViews>
  <sheetFormatPr baseColWidth="10" defaultRowHeight="14.4" x14ac:dyDescent="0.3"/>
  <sheetData>
    <row r="3" spans="2:14" x14ac:dyDescent="0.3">
      <c r="I3" s="42"/>
      <c r="J3" s="42"/>
      <c r="L3" s="42"/>
      <c r="M3" s="42"/>
    </row>
    <row r="4" spans="2:14" x14ac:dyDescent="0.3">
      <c r="B4" s="68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2:14" x14ac:dyDescent="0.3">
      <c r="B5" s="69" t="s">
        <v>1</v>
      </c>
      <c r="C5" s="69" t="s">
        <v>2</v>
      </c>
      <c r="D5" s="69"/>
      <c r="E5" s="69" t="s">
        <v>3</v>
      </c>
      <c r="F5" s="69"/>
      <c r="G5" s="69"/>
      <c r="H5" s="69" t="s">
        <v>4</v>
      </c>
      <c r="I5" s="69"/>
      <c r="J5" s="69"/>
      <c r="K5" s="69" t="s">
        <v>5</v>
      </c>
      <c r="L5" s="69"/>
      <c r="M5" s="69"/>
    </row>
    <row r="6" spans="2:14" x14ac:dyDescent="0.3">
      <c r="B6" s="69"/>
      <c r="C6" s="69" t="s">
        <v>6</v>
      </c>
      <c r="D6" s="69"/>
      <c r="E6" s="1" t="s">
        <v>7</v>
      </c>
      <c r="F6" s="1" t="s">
        <v>8</v>
      </c>
      <c r="G6" s="1" t="s">
        <v>9</v>
      </c>
      <c r="H6" s="1" t="s">
        <v>7</v>
      </c>
      <c r="I6" s="1" t="s">
        <v>8</v>
      </c>
      <c r="J6" s="1" t="s">
        <v>9</v>
      </c>
      <c r="K6" s="1" t="s">
        <v>7</v>
      </c>
      <c r="L6" s="1" t="s">
        <v>8</v>
      </c>
      <c r="M6" s="1" t="s">
        <v>10</v>
      </c>
    </row>
    <row r="7" spans="2:14" x14ac:dyDescent="0.3">
      <c r="B7" s="3">
        <v>45352</v>
      </c>
      <c r="C7" s="67" t="s">
        <v>11</v>
      </c>
      <c r="D7" s="67"/>
      <c r="E7" s="43">
        <v>300</v>
      </c>
      <c r="F7" s="44">
        <v>10.199999999999999</v>
      </c>
      <c r="G7" s="44">
        <f t="shared" ref="G7:G17" si="0">E7*F7</f>
        <v>3060</v>
      </c>
      <c r="H7" s="4"/>
      <c r="I7" s="44"/>
      <c r="J7" s="44">
        <f>H7*I7</f>
        <v>0</v>
      </c>
      <c r="K7" s="45">
        <f>E7</f>
        <v>300</v>
      </c>
      <c r="L7" s="45">
        <f>F7</f>
        <v>10.199999999999999</v>
      </c>
      <c r="M7" s="44">
        <f>G7</f>
        <v>3060</v>
      </c>
    </row>
    <row r="8" spans="2:14" x14ac:dyDescent="0.3">
      <c r="B8" s="3">
        <v>45353</v>
      </c>
      <c r="C8" s="64" t="s">
        <v>12</v>
      </c>
      <c r="D8" s="64"/>
      <c r="E8" s="43">
        <v>50</v>
      </c>
      <c r="F8" s="44">
        <v>10.8</v>
      </c>
      <c r="G8" s="44">
        <f t="shared" si="0"/>
        <v>540</v>
      </c>
      <c r="H8" s="4"/>
      <c r="I8" s="44"/>
      <c r="J8" s="44">
        <f t="shared" ref="J8:J17" si="1">H8*I8</f>
        <v>0</v>
      </c>
      <c r="K8" s="45">
        <f>K7+E8</f>
        <v>350</v>
      </c>
      <c r="L8" s="44">
        <f>M8/K8</f>
        <v>10.285714285714286</v>
      </c>
      <c r="M8" s="44">
        <f>M7+G8</f>
        <v>3600</v>
      </c>
    </row>
    <row r="9" spans="2:14" x14ac:dyDescent="0.3">
      <c r="B9" s="3">
        <v>45357</v>
      </c>
      <c r="C9" s="64" t="s">
        <v>13</v>
      </c>
      <c r="D9" s="64"/>
      <c r="E9" s="43"/>
      <c r="F9" s="44"/>
      <c r="G9" s="44">
        <f t="shared" si="0"/>
        <v>0</v>
      </c>
      <c r="H9" s="4">
        <v>100</v>
      </c>
      <c r="I9" s="44">
        <v>10.199999999999999</v>
      </c>
      <c r="J9" s="44">
        <f t="shared" si="1"/>
        <v>1019.9999999999999</v>
      </c>
      <c r="K9" s="45">
        <f>K8-H9</f>
        <v>250</v>
      </c>
      <c r="L9" s="44">
        <f>M9/K9</f>
        <v>10.32</v>
      </c>
      <c r="M9" s="44">
        <f>M8-J9</f>
        <v>2580</v>
      </c>
      <c r="N9" t="s">
        <v>14</v>
      </c>
    </row>
    <row r="10" spans="2:14" x14ac:dyDescent="0.3">
      <c r="B10" s="3">
        <v>45359</v>
      </c>
      <c r="C10" s="64" t="s">
        <v>13</v>
      </c>
      <c r="D10" s="64"/>
      <c r="E10" s="43"/>
      <c r="F10" s="44"/>
      <c r="G10" s="44">
        <f t="shared" si="0"/>
        <v>0</v>
      </c>
      <c r="H10" s="4">
        <v>150</v>
      </c>
      <c r="I10" s="44">
        <v>10.199999999999999</v>
      </c>
      <c r="J10" s="44">
        <f t="shared" si="1"/>
        <v>1530</v>
      </c>
      <c r="K10" s="45">
        <f>K9-H10</f>
        <v>100</v>
      </c>
      <c r="L10" s="44">
        <f>M10/K10</f>
        <v>10.5</v>
      </c>
      <c r="M10" s="44">
        <f>M9-J10</f>
        <v>1050</v>
      </c>
      <c r="N10" t="s">
        <v>15</v>
      </c>
    </row>
    <row r="11" spans="2:14" x14ac:dyDescent="0.3">
      <c r="B11" s="3">
        <v>45365</v>
      </c>
      <c r="C11" s="64" t="s">
        <v>13</v>
      </c>
      <c r="D11" s="64"/>
      <c r="E11" s="43"/>
      <c r="F11" s="44"/>
      <c r="G11" s="44">
        <f t="shared" si="0"/>
        <v>0</v>
      </c>
      <c r="H11" s="4">
        <v>50</v>
      </c>
      <c r="I11" s="44">
        <v>10.199999999999999</v>
      </c>
      <c r="J11" s="44">
        <f t="shared" si="1"/>
        <v>509.99999999999994</v>
      </c>
      <c r="K11" s="45">
        <f>K10-H11</f>
        <v>50</v>
      </c>
      <c r="L11" s="44">
        <f>M11/K11</f>
        <v>10.8</v>
      </c>
      <c r="M11" s="44">
        <f>M10-J11</f>
        <v>540</v>
      </c>
      <c r="N11" t="s">
        <v>16</v>
      </c>
    </row>
    <row r="12" spans="2:14" x14ac:dyDescent="0.3">
      <c r="B12" s="3">
        <v>45365</v>
      </c>
      <c r="C12" s="65" t="s">
        <v>13</v>
      </c>
      <c r="D12" s="66"/>
      <c r="E12" s="43"/>
      <c r="F12" s="44"/>
      <c r="G12" s="44">
        <f t="shared" si="0"/>
        <v>0</v>
      </c>
      <c r="H12" s="4">
        <v>50</v>
      </c>
      <c r="I12" s="44">
        <f>F8</f>
        <v>10.8</v>
      </c>
      <c r="J12" s="44">
        <f t="shared" si="1"/>
        <v>540</v>
      </c>
      <c r="K12" s="45">
        <f>K11-H12</f>
        <v>0</v>
      </c>
      <c r="L12" s="44">
        <v>0</v>
      </c>
      <c r="M12" s="44">
        <f>M11-J12</f>
        <v>0</v>
      </c>
      <c r="N12" t="s">
        <v>17</v>
      </c>
    </row>
    <row r="13" spans="2:14" x14ac:dyDescent="0.3">
      <c r="B13" s="3">
        <v>45371</v>
      </c>
      <c r="C13" s="64" t="s">
        <v>18</v>
      </c>
      <c r="D13" s="64"/>
      <c r="E13" s="43">
        <v>10</v>
      </c>
      <c r="F13" s="44">
        <v>12.1</v>
      </c>
      <c r="G13" s="44">
        <f t="shared" si="0"/>
        <v>121</v>
      </c>
      <c r="H13" s="4"/>
      <c r="I13" s="44"/>
      <c r="J13" s="44">
        <f t="shared" si="1"/>
        <v>0</v>
      </c>
      <c r="K13" s="45">
        <f>K12+E13</f>
        <v>10</v>
      </c>
      <c r="L13" s="44">
        <f>M13/K13</f>
        <v>12.1</v>
      </c>
      <c r="M13" s="44">
        <f>M12+G13</f>
        <v>121</v>
      </c>
    </row>
    <row r="14" spans="2:14" x14ac:dyDescent="0.3">
      <c r="B14" s="3">
        <v>45376</v>
      </c>
      <c r="C14" s="64" t="s">
        <v>12</v>
      </c>
      <c r="D14" s="64"/>
      <c r="E14" s="43">
        <v>300</v>
      </c>
      <c r="F14" s="44">
        <v>12.4</v>
      </c>
      <c r="G14" s="44">
        <f t="shared" si="0"/>
        <v>3720</v>
      </c>
      <c r="H14" s="4"/>
      <c r="I14" s="44"/>
      <c r="J14" s="44">
        <f t="shared" si="1"/>
        <v>0</v>
      </c>
      <c r="K14" s="45">
        <f>K13+E14</f>
        <v>310</v>
      </c>
      <c r="L14" s="44">
        <f>M14/K14</f>
        <v>12.390322580645162</v>
      </c>
      <c r="M14" s="44">
        <f>M13+G14</f>
        <v>3841</v>
      </c>
    </row>
    <row r="15" spans="2:14" x14ac:dyDescent="0.3">
      <c r="B15" s="3">
        <v>45378</v>
      </c>
      <c r="C15" s="65" t="s">
        <v>13</v>
      </c>
      <c r="D15" s="66"/>
      <c r="E15" s="43"/>
      <c r="F15" s="44"/>
      <c r="G15" s="44">
        <f t="shared" si="0"/>
        <v>0</v>
      </c>
      <c r="H15" s="4">
        <v>10</v>
      </c>
      <c r="I15" s="44">
        <v>12.1</v>
      </c>
      <c r="J15" s="44">
        <f t="shared" si="1"/>
        <v>121</v>
      </c>
      <c r="K15" s="45">
        <f>K14-H15</f>
        <v>300</v>
      </c>
      <c r="L15" s="44">
        <f>M15/K15</f>
        <v>12.4</v>
      </c>
      <c r="M15" s="44">
        <f>M14-J15</f>
        <v>3720</v>
      </c>
      <c r="N15" t="s">
        <v>19</v>
      </c>
    </row>
    <row r="16" spans="2:14" x14ac:dyDescent="0.3">
      <c r="B16" s="3">
        <v>45378</v>
      </c>
      <c r="C16" s="64" t="s">
        <v>13</v>
      </c>
      <c r="D16" s="64"/>
      <c r="E16" s="43"/>
      <c r="F16" s="44"/>
      <c r="G16" s="44">
        <f t="shared" si="0"/>
        <v>0</v>
      </c>
      <c r="H16" s="4">
        <v>60</v>
      </c>
      <c r="I16" s="44">
        <f>F14</f>
        <v>12.4</v>
      </c>
      <c r="J16" s="44">
        <f t="shared" si="1"/>
        <v>744</v>
      </c>
      <c r="K16" s="45">
        <f>K15-H16</f>
        <v>240</v>
      </c>
      <c r="L16" s="44">
        <f>M16/K16</f>
        <v>12.4</v>
      </c>
      <c r="M16" s="44">
        <f>M15-J16</f>
        <v>2976</v>
      </c>
      <c r="N16" t="s">
        <v>20</v>
      </c>
    </row>
    <row r="17" spans="2:14" x14ac:dyDescent="0.3">
      <c r="B17" s="3">
        <v>45380</v>
      </c>
      <c r="C17" s="64" t="s">
        <v>13</v>
      </c>
      <c r="D17" s="64"/>
      <c r="E17" s="43"/>
      <c r="F17" s="44"/>
      <c r="G17" s="44">
        <f t="shared" si="0"/>
        <v>0</v>
      </c>
      <c r="H17" s="4">
        <v>100</v>
      </c>
      <c r="I17" s="44">
        <f>F14</f>
        <v>12.4</v>
      </c>
      <c r="J17" s="44">
        <f t="shared" si="1"/>
        <v>1240</v>
      </c>
      <c r="K17" s="45">
        <f>K16-H17</f>
        <v>140</v>
      </c>
      <c r="L17" s="44">
        <f>M17/K17</f>
        <v>12.4</v>
      </c>
      <c r="M17" s="44">
        <f>M16-J17</f>
        <v>1736</v>
      </c>
      <c r="N17" t="s">
        <v>21</v>
      </c>
    </row>
  </sheetData>
  <mergeCells count="18">
    <mergeCell ref="B4:M4"/>
    <mergeCell ref="B5:B6"/>
    <mergeCell ref="C5:D5"/>
    <mergeCell ref="E5:G5"/>
    <mergeCell ref="H5:J5"/>
    <mergeCell ref="K5:M5"/>
    <mergeCell ref="C6:D6"/>
    <mergeCell ref="C7:D7"/>
    <mergeCell ref="C8:D8"/>
    <mergeCell ref="C9:D9"/>
    <mergeCell ref="C10:D10"/>
    <mergeCell ref="C11:D11"/>
    <mergeCell ref="C17:D17"/>
    <mergeCell ref="C12:D12"/>
    <mergeCell ref="C13:D13"/>
    <mergeCell ref="C14:D14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0411-D15D-4B01-9444-DEFEBF207337}">
  <dimension ref="B4:N16"/>
  <sheetViews>
    <sheetView workbookViewId="0">
      <selection activeCell="P15" sqref="P15"/>
    </sheetView>
  </sheetViews>
  <sheetFormatPr baseColWidth="10" defaultRowHeight="14.4" x14ac:dyDescent="0.3"/>
  <sheetData>
    <row r="4" spans="2:14" x14ac:dyDescent="0.3">
      <c r="B4" s="74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2:14" x14ac:dyDescent="0.3">
      <c r="B5" s="75" t="s">
        <v>1</v>
      </c>
      <c r="C5" s="77" t="s">
        <v>2</v>
      </c>
      <c r="D5" s="78"/>
      <c r="E5" s="79"/>
      <c r="F5" s="77" t="s">
        <v>3</v>
      </c>
      <c r="G5" s="78"/>
      <c r="H5" s="79"/>
      <c r="I5" s="77" t="s">
        <v>4</v>
      </c>
      <c r="J5" s="78"/>
      <c r="K5" s="79"/>
      <c r="L5" s="77" t="s">
        <v>23</v>
      </c>
      <c r="M5" s="78"/>
      <c r="N5" s="22"/>
    </row>
    <row r="6" spans="2:14" x14ac:dyDescent="0.3">
      <c r="B6" s="76"/>
      <c r="C6" s="80" t="s">
        <v>6</v>
      </c>
      <c r="D6" s="81"/>
      <c r="E6" s="20" t="s">
        <v>24</v>
      </c>
      <c r="F6" s="21" t="s">
        <v>7</v>
      </c>
      <c r="G6" s="21" t="s">
        <v>8</v>
      </c>
      <c r="H6" s="21" t="s">
        <v>9</v>
      </c>
      <c r="I6" s="21" t="s">
        <v>7</v>
      </c>
      <c r="J6" s="21" t="s">
        <v>8</v>
      </c>
      <c r="K6" s="21" t="s">
        <v>9</v>
      </c>
      <c r="L6" s="21" t="s">
        <v>25</v>
      </c>
      <c r="M6" s="21" t="s">
        <v>26</v>
      </c>
    </row>
    <row r="7" spans="2:14" x14ac:dyDescent="0.3">
      <c r="B7" s="3">
        <v>45292</v>
      </c>
      <c r="C7" s="70" t="s">
        <v>11</v>
      </c>
      <c r="D7" s="71"/>
      <c r="E7" s="5"/>
      <c r="F7" s="46">
        <v>100</v>
      </c>
      <c r="G7" s="44">
        <v>0.3</v>
      </c>
      <c r="H7" s="44">
        <f>F7*G7</f>
        <v>30</v>
      </c>
      <c r="I7" s="4"/>
      <c r="J7" s="44"/>
      <c r="K7" s="44">
        <f>I7*J7</f>
        <v>0</v>
      </c>
      <c r="L7" s="45">
        <f>F7</f>
        <v>100</v>
      </c>
      <c r="M7" s="44">
        <f>H7</f>
        <v>30</v>
      </c>
    </row>
    <row r="8" spans="2:14" x14ac:dyDescent="0.3">
      <c r="B8" s="3">
        <v>45301</v>
      </c>
      <c r="C8" s="70" t="s">
        <v>12</v>
      </c>
      <c r="D8" s="71"/>
      <c r="E8" s="6">
        <v>1932</v>
      </c>
      <c r="F8" s="46">
        <v>200</v>
      </c>
      <c r="G8" s="44">
        <v>0.35</v>
      </c>
      <c r="H8" s="44">
        <f t="shared" ref="H8:H16" si="0">F8*G8</f>
        <v>70</v>
      </c>
      <c r="I8" s="4"/>
      <c r="J8" s="44"/>
      <c r="K8" s="44">
        <f t="shared" ref="K8:K13" si="1">I8*J8</f>
        <v>0</v>
      </c>
      <c r="L8" s="45">
        <f>L7+F8</f>
        <v>300</v>
      </c>
      <c r="M8" s="44">
        <f>M7+H8</f>
        <v>100</v>
      </c>
    </row>
    <row r="9" spans="2:14" x14ac:dyDescent="0.3">
      <c r="B9" s="3">
        <v>45342</v>
      </c>
      <c r="C9" s="70" t="s">
        <v>13</v>
      </c>
      <c r="D9" s="71"/>
      <c r="E9" s="6">
        <v>4991</v>
      </c>
      <c r="F9" s="46"/>
      <c r="G9" s="44"/>
      <c r="H9" s="44">
        <f t="shared" si="0"/>
        <v>0</v>
      </c>
      <c r="I9" s="4">
        <v>100</v>
      </c>
      <c r="J9" s="44">
        <f>G7</f>
        <v>0.3</v>
      </c>
      <c r="K9" s="44">
        <f t="shared" si="1"/>
        <v>30</v>
      </c>
      <c r="L9" s="45">
        <f>L8-I9</f>
        <v>200</v>
      </c>
      <c r="M9" s="44">
        <f>M8-K9</f>
        <v>70</v>
      </c>
    </row>
    <row r="10" spans="2:14" x14ac:dyDescent="0.3">
      <c r="B10" s="3">
        <v>45342</v>
      </c>
      <c r="C10" s="70" t="s">
        <v>13</v>
      </c>
      <c r="D10" s="71"/>
      <c r="E10" s="6">
        <v>4991</v>
      </c>
      <c r="F10" s="46"/>
      <c r="G10" s="44"/>
      <c r="H10" s="44">
        <f t="shared" si="0"/>
        <v>0</v>
      </c>
      <c r="I10" s="4">
        <v>200</v>
      </c>
      <c r="J10" s="44">
        <f>G8</f>
        <v>0.35</v>
      </c>
      <c r="K10" s="44">
        <f t="shared" si="1"/>
        <v>70</v>
      </c>
      <c r="L10" s="45">
        <f>L9-I10</f>
        <v>0</v>
      </c>
      <c r="M10" s="44">
        <f>M9-K10</f>
        <v>0</v>
      </c>
    </row>
    <row r="11" spans="2:14" x14ac:dyDescent="0.3">
      <c r="B11" s="3">
        <v>45349</v>
      </c>
      <c r="C11" s="73" t="s">
        <v>12</v>
      </c>
      <c r="D11" s="73"/>
      <c r="E11" s="6">
        <v>2922</v>
      </c>
      <c r="F11" s="46">
        <v>200</v>
      </c>
      <c r="G11" s="44">
        <v>0.38</v>
      </c>
      <c r="H11" s="44">
        <f t="shared" si="0"/>
        <v>76</v>
      </c>
      <c r="I11" s="4"/>
      <c r="J11" s="44"/>
      <c r="K11" s="44">
        <f t="shared" si="1"/>
        <v>0</v>
      </c>
      <c r="L11" s="45">
        <f>L10+F11</f>
        <v>200</v>
      </c>
      <c r="M11" s="44">
        <f>M10+H11</f>
        <v>76</v>
      </c>
    </row>
    <row r="12" spans="2:14" x14ac:dyDescent="0.3">
      <c r="B12" s="3">
        <v>45366</v>
      </c>
      <c r="C12" s="73" t="s">
        <v>12</v>
      </c>
      <c r="D12" s="73"/>
      <c r="E12" s="6">
        <v>3040</v>
      </c>
      <c r="F12" s="46">
        <v>200</v>
      </c>
      <c r="G12" s="44">
        <v>0.4</v>
      </c>
      <c r="H12" s="44">
        <f t="shared" si="0"/>
        <v>80</v>
      </c>
      <c r="I12" s="4"/>
      <c r="J12" s="44"/>
      <c r="K12" s="44">
        <f t="shared" si="1"/>
        <v>0</v>
      </c>
      <c r="L12" s="45">
        <f>L11+F12</f>
        <v>400</v>
      </c>
      <c r="M12" s="44">
        <f>M11+H12</f>
        <v>156</v>
      </c>
    </row>
    <row r="13" spans="2:14" x14ac:dyDescent="0.3">
      <c r="B13" s="3">
        <v>45369</v>
      </c>
      <c r="C13" s="70" t="s">
        <v>13</v>
      </c>
      <c r="D13" s="71"/>
      <c r="E13" s="7">
        <v>5360</v>
      </c>
      <c r="F13" s="46"/>
      <c r="G13" s="44"/>
      <c r="H13" s="44">
        <f t="shared" si="0"/>
        <v>0</v>
      </c>
      <c r="I13" s="4">
        <v>200</v>
      </c>
      <c r="J13" s="44">
        <f>G11</f>
        <v>0.38</v>
      </c>
      <c r="K13" s="44">
        <f t="shared" si="1"/>
        <v>76</v>
      </c>
      <c r="L13" s="45">
        <f>L12-I13</f>
        <v>200</v>
      </c>
      <c r="M13" s="44">
        <f>M12-K13</f>
        <v>80</v>
      </c>
    </row>
    <row r="14" spans="2:14" x14ac:dyDescent="0.3">
      <c r="B14" s="3">
        <v>45369</v>
      </c>
      <c r="C14" s="72" t="s">
        <v>13</v>
      </c>
      <c r="D14" s="72"/>
      <c r="E14" s="7">
        <v>5360</v>
      </c>
      <c r="F14" s="46"/>
      <c r="G14" s="44"/>
      <c r="H14" s="44">
        <f t="shared" si="0"/>
        <v>0</v>
      </c>
      <c r="I14" s="4">
        <v>50</v>
      </c>
      <c r="J14" s="44">
        <f>G12</f>
        <v>0.4</v>
      </c>
      <c r="K14" s="44">
        <f>I14*J14</f>
        <v>20</v>
      </c>
      <c r="L14" s="45">
        <f>L13-I14</f>
        <v>150</v>
      </c>
      <c r="M14" s="44">
        <f>M13-K14</f>
        <v>60</v>
      </c>
    </row>
    <row r="15" spans="2:14" x14ac:dyDescent="0.3">
      <c r="B15" s="3">
        <v>45372</v>
      </c>
      <c r="C15" s="73" t="s">
        <v>13</v>
      </c>
      <c r="D15" s="73"/>
      <c r="E15" s="6">
        <v>5546</v>
      </c>
      <c r="F15" s="46"/>
      <c r="G15" s="44"/>
      <c r="H15" s="44">
        <f t="shared" si="0"/>
        <v>0</v>
      </c>
      <c r="I15" s="4">
        <v>120</v>
      </c>
      <c r="J15" s="44">
        <f>G12</f>
        <v>0.4</v>
      </c>
      <c r="K15" s="44">
        <f>I15*J15</f>
        <v>48</v>
      </c>
      <c r="L15" s="45">
        <f>L14-I15</f>
        <v>30</v>
      </c>
      <c r="M15" s="44">
        <f>M14-K15</f>
        <v>12</v>
      </c>
    </row>
    <row r="16" spans="2:14" x14ac:dyDescent="0.3">
      <c r="B16" s="3">
        <v>45373</v>
      </c>
      <c r="C16" s="73" t="s">
        <v>12</v>
      </c>
      <c r="D16" s="73"/>
      <c r="E16" s="6">
        <v>3512</v>
      </c>
      <c r="F16" s="46">
        <v>300</v>
      </c>
      <c r="G16" s="44">
        <v>0.37</v>
      </c>
      <c r="H16" s="44">
        <f t="shared" si="0"/>
        <v>111</v>
      </c>
      <c r="I16" s="4"/>
      <c r="J16" s="44"/>
      <c r="K16" s="44">
        <f>I16*J16</f>
        <v>0</v>
      </c>
      <c r="L16" s="45">
        <f>L15+F16</f>
        <v>330</v>
      </c>
      <c r="M16" s="44">
        <f>M15+H16</f>
        <v>123</v>
      </c>
    </row>
  </sheetData>
  <mergeCells count="17">
    <mergeCell ref="C6:D6"/>
    <mergeCell ref="C13:D13"/>
    <mergeCell ref="C14:D14"/>
    <mergeCell ref="C15:D15"/>
    <mergeCell ref="C16:D16"/>
    <mergeCell ref="B4:M4"/>
    <mergeCell ref="C7:D7"/>
    <mergeCell ref="C8:D8"/>
    <mergeCell ref="C9:D9"/>
    <mergeCell ref="C10:D10"/>
    <mergeCell ref="C11:D11"/>
    <mergeCell ref="C12:D12"/>
    <mergeCell ref="B5:B6"/>
    <mergeCell ref="C5:E5"/>
    <mergeCell ref="F5:H5"/>
    <mergeCell ref="I5:K5"/>
    <mergeCell ref="L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0939-4209-4C90-BE19-22123255A75B}">
  <dimension ref="B5:T36"/>
  <sheetViews>
    <sheetView topLeftCell="A4" zoomScale="70" zoomScaleNormal="70" workbookViewId="0">
      <selection activeCell="O10" sqref="O10"/>
    </sheetView>
  </sheetViews>
  <sheetFormatPr baseColWidth="10" defaultRowHeight="14.4" x14ac:dyDescent="0.3"/>
  <cols>
    <col min="12" max="12" width="15.21875" bestFit="1" customWidth="1"/>
    <col min="13" max="13" width="12.21875" bestFit="1" customWidth="1"/>
  </cols>
  <sheetData>
    <row r="5" spans="2:13" x14ac:dyDescent="0.3">
      <c r="B5" s="82" t="s">
        <v>27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2:13" x14ac:dyDescent="0.3">
      <c r="B6" s="25" t="s">
        <v>1</v>
      </c>
      <c r="C6" s="25" t="s">
        <v>2</v>
      </c>
      <c r="D6" s="25"/>
      <c r="E6" s="25" t="s">
        <v>3</v>
      </c>
      <c r="F6" s="25"/>
      <c r="G6" s="25"/>
      <c r="H6" s="25" t="s">
        <v>4</v>
      </c>
      <c r="I6" s="25"/>
      <c r="J6" s="25"/>
      <c r="K6" s="25" t="s">
        <v>5</v>
      </c>
      <c r="L6" s="25"/>
      <c r="M6" s="25"/>
    </row>
    <row r="7" spans="2:13" x14ac:dyDescent="0.3">
      <c r="B7" s="25"/>
      <c r="C7" s="25" t="s">
        <v>6</v>
      </c>
      <c r="D7" s="25"/>
      <c r="E7" s="25" t="s">
        <v>7</v>
      </c>
      <c r="F7" s="25" t="s">
        <v>8</v>
      </c>
      <c r="G7" s="25" t="s">
        <v>9</v>
      </c>
      <c r="H7" s="25" t="s">
        <v>7</v>
      </c>
      <c r="I7" s="25" t="s">
        <v>8</v>
      </c>
      <c r="J7" s="25" t="s">
        <v>9</v>
      </c>
      <c r="K7" s="25" t="s">
        <v>7</v>
      </c>
      <c r="L7" s="25" t="s">
        <v>8</v>
      </c>
      <c r="M7" s="25" t="s">
        <v>10</v>
      </c>
    </row>
    <row r="8" spans="2:13" x14ac:dyDescent="0.3">
      <c r="B8" s="3">
        <v>45292</v>
      </c>
      <c r="C8" s="70" t="s">
        <v>11</v>
      </c>
      <c r="D8" s="71"/>
      <c r="E8" s="43">
        <v>1500</v>
      </c>
      <c r="F8" s="44">
        <v>4.5</v>
      </c>
      <c r="G8" s="44">
        <f>E8*F8</f>
        <v>6750</v>
      </c>
      <c r="H8" s="4"/>
      <c r="I8" s="44"/>
      <c r="J8" s="44"/>
      <c r="K8" s="45">
        <f>E8</f>
        <v>1500</v>
      </c>
      <c r="L8" s="45">
        <f>F8</f>
        <v>4.5</v>
      </c>
      <c r="M8" s="44">
        <f>G8</f>
        <v>6750</v>
      </c>
    </row>
    <row r="9" spans="2:13" x14ac:dyDescent="0.3">
      <c r="B9" s="3">
        <v>45298</v>
      </c>
      <c r="C9" s="70" t="s">
        <v>13</v>
      </c>
      <c r="D9" s="71"/>
      <c r="E9" s="43"/>
      <c r="F9" s="44"/>
      <c r="G9" s="44"/>
      <c r="H9" s="4">
        <v>500</v>
      </c>
      <c r="I9" s="44">
        <f>L8</f>
        <v>4.5</v>
      </c>
      <c r="J9" s="44">
        <f>H9*I9</f>
        <v>2250</v>
      </c>
      <c r="K9" s="45">
        <f>K8-H9</f>
        <v>1000</v>
      </c>
      <c r="L9" s="44">
        <f>M9/K9</f>
        <v>4.5</v>
      </c>
      <c r="M9" s="44">
        <f>M8-J9</f>
        <v>4500</v>
      </c>
    </row>
    <row r="10" spans="2:13" x14ac:dyDescent="0.3">
      <c r="B10" s="3">
        <v>45303</v>
      </c>
      <c r="C10" s="70" t="s">
        <v>12</v>
      </c>
      <c r="D10" s="71"/>
      <c r="E10" s="43">
        <v>250</v>
      </c>
      <c r="F10" s="44">
        <f>(4.6*0.95)+(T19/E10)</f>
        <v>4.4155999999999995</v>
      </c>
      <c r="G10" s="44">
        <f>E10*F10</f>
        <v>1103.8999999999999</v>
      </c>
      <c r="H10" s="4"/>
      <c r="I10" s="44"/>
      <c r="J10" s="44"/>
      <c r="K10" s="45">
        <f>K9+E10</f>
        <v>1250</v>
      </c>
      <c r="L10" s="44">
        <f>M10/K10</f>
        <v>4.4831199999999995</v>
      </c>
      <c r="M10" s="44">
        <f>M9+G10</f>
        <v>5603.9</v>
      </c>
    </row>
    <row r="11" spans="2:13" x14ac:dyDescent="0.3">
      <c r="B11" s="3">
        <v>45306</v>
      </c>
      <c r="C11" s="70" t="s">
        <v>13</v>
      </c>
      <c r="D11" s="71"/>
      <c r="E11" s="43"/>
      <c r="F11" s="44"/>
      <c r="G11" s="44"/>
      <c r="H11" s="4">
        <v>300</v>
      </c>
      <c r="I11" s="44">
        <f>L10</f>
        <v>4.4831199999999995</v>
      </c>
      <c r="J11" s="44">
        <f>H11*I11</f>
        <v>1344.9359999999999</v>
      </c>
      <c r="K11" s="45">
        <f>K10-H11</f>
        <v>950</v>
      </c>
      <c r="L11" s="44">
        <f>M11/K11</f>
        <v>4.4831199999999995</v>
      </c>
      <c r="M11" s="44">
        <f>M10-J11</f>
        <v>4258.9639999999999</v>
      </c>
    </row>
    <row r="12" spans="2:13" x14ac:dyDescent="0.3">
      <c r="B12" s="3">
        <v>45307</v>
      </c>
      <c r="C12" s="70" t="s">
        <v>12</v>
      </c>
      <c r="D12" s="71"/>
      <c r="E12" s="43">
        <v>200</v>
      </c>
      <c r="F12" s="44">
        <f>(4.7*0.93)+(T20/E12)</f>
        <v>4.4575000000000005</v>
      </c>
      <c r="G12" s="44">
        <f>E12*F12</f>
        <v>891.50000000000011</v>
      </c>
      <c r="H12" s="4"/>
      <c r="I12" s="44"/>
      <c r="J12" s="44"/>
      <c r="K12" s="45">
        <f>K11+E12</f>
        <v>1150</v>
      </c>
      <c r="L12" s="44">
        <f>M12/K12</f>
        <v>4.4786643478260872</v>
      </c>
      <c r="M12" s="44">
        <f>M11+G12</f>
        <v>5150.4639999999999</v>
      </c>
    </row>
    <row r="13" spans="2:13" x14ac:dyDescent="0.3">
      <c r="B13" s="3">
        <v>45308</v>
      </c>
      <c r="C13" s="70" t="s">
        <v>13</v>
      </c>
      <c r="D13" s="71"/>
      <c r="E13" s="43"/>
      <c r="F13" s="44"/>
      <c r="G13" s="44"/>
      <c r="H13" s="4">
        <v>100</v>
      </c>
      <c r="I13" s="44">
        <f>(L12*0.9)</f>
        <v>4.0307979130434788</v>
      </c>
      <c r="J13" s="44">
        <f>H13*I13</f>
        <v>403.07979130434785</v>
      </c>
      <c r="K13" s="45">
        <f>K12-H13</f>
        <v>1050</v>
      </c>
      <c r="L13" s="44">
        <f>M13/K13</f>
        <v>4.5213182939958587</v>
      </c>
      <c r="M13" s="44">
        <f>M12-J13</f>
        <v>4747.384208695652</v>
      </c>
    </row>
    <row r="14" spans="2:13" x14ac:dyDescent="0.3">
      <c r="B14" s="3">
        <v>45319</v>
      </c>
      <c r="C14" s="70" t="s">
        <v>13</v>
      </c>
      <c r="D14" s="71"/>
      <c r="E14" s="43"/>
      <c r="F14" s="44"/>
      <c r="G14" s="44"/>
      <c r="H14" s="4">
        <v>1050</v>
      </c>
      <c r="I14" s="44">
        <f>L13</f>
        <v>4.5213182939958587</v>
      </c>
      <c r="J14" s="44">
        <f>H14*I14</f>
        <v>4747.384208695652</v>
      </c>
      <c r="K14" s="45">
        <f>K13-H14</f>
        <v>0</v>
      </c>
      <c r="L14" s="44">
        <v>0</v>
      </c>
      <c r="M14" s="44">
        <f>M13-J14</f>
        <v>0</v>
      </c>
    </row>
    <row r="15" spans="2:13" x14ac:dyDescent="0.3">
      <c r="I15" s="42"/>
      <c r="J15" s="42"/>
      <c r="L15" s="42"/>
      <c r="M15" s="42"/>
    </row>
    <row r="16" spans="2:13" x14ac:dyDescent="0.3">
      <c r="B16" s="82" t="s">
        <v>28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2:20" x14ac:dyDescent="0.3">
      <c r="B17" s="25" t="s">
        <v>1</v>
      </c>
      <c r="C17" s="25" t="s">
        <v>2</v>
      </c>
      <c r="D17" s="25"/>
      <c r="E17" s="25" t="s">
        <v>3</v>
      </c>
      <c r="F17" s="25"/>
      <c r="G17" s="25"/>
      <c r="H17" s="25" t="s">
        <v>4</v>
      </c>
      <c r="I17" s="25"/>
      <c r="J17" s="25"/>
      <c r="K17" s="25" t="s">
        <v>5</v>
      </c>
      <c r="L17" s="25"/>
      <c r="M17" s="25"/>
      <c r="O17" s="23" t="s">
        <v>29</v>
      </c>
      <c r="P17" s="23"/>
      <c r="Q17" s="23"/>
      <c r="R17" s="23"/>
      <c r="S17" s="23"/>
      <c r="T17" s="23"/>
    </row>
    <row r="18" spans="2:20" x14ac:dyDescent="0.3">
      <c r="B18" s="25"/>
      <c r="C18" s="25" t="s">
        <v>6</v>
      </c>
      <c r="D18" s="25"/>
      <c r="E18" s="25" t="s">
        <v>7</v>
      </c>
      <c r="F18" s="25" t="s">
        <v>8</v>
      </c>
      <c r="G18" s="25" t="s">
        <v>9</v>
      </c>
      <c r="H18" s="25" t="s">
        <v>7</v>
      </c>
      <c r="I18" s="25" t="s">
        <v>8</v>
      </c>
      <c r="J18" s="25" t="s">
        <v>9</v>
      </c>
      <c r="K18" s="25" t="s">
        <v>7</v>
      </c>
      <c r="L18" s="25" t="s">
        <v>8</v>
      </c>
      <c r="M18" s="25" t="s">
        <v>10</v>
      </c>
      <c r="O18" s="24" t="s">
        <v>30</v>
      </c>
      <c r="P18" s="24" t="s">
        <v>31</v>
      </c>
      <c r="Q18" s="24" t="s">
        <v>32</v>
      </c>
      <c r="R18" s="24" t="s">
        <v>33</v>
      </c>
      <c r="S18" s="24" t="s">
        <v>34</v>
      </c>
      <c r="T18" s="24" t="s">
        <v>35</v>
      </c>
    </row>
    <row r="19" spans="2:20" x14ac:dyDescent="0.3">
      <c r="B19" s="3">
        <v>45292</v>
      </c>
      <c r="C19" s="70" t="s">
        <v>11</v>
      </c>
      <c r="D19" s="71"/>
      <c r="E19" s="43">
        <v>2000</v>
      </c>
      <c r="F19" s="44">
        <v>4.08</v>
      </c>
      <c r="G19" s="44">
        <f>E19*F19</f>
        <v>8160</v>
      </c>
      <c r="H19" s="4"/>
      <c r="I19" s="44"/>
      <c r="J19" s="44"/>
      <c r="K19" s="45">
        <f>E19</f>
        <v>2000</v>
      </c>
      <c r="L19" s="45">
        <f t="shared" ref="L19:L25" si="0">M19/K19</f>
        <v>4.08</v>
      </c>
      <c r="M19" s="44">
        <f>G19</f>
        <v>8160</v>
      </c>
      <c r="O19" s="9">
        <v>45303</v>
      </c>
      <c r="P19" s="9" t="s">
        <v>12</v>
      </c>
      <c r="Q19" s="47">
        <f>6.2/3</f>
        <v>2.0666666666666669</v>
      </c>
      <c r="R19" s="47">
        <f>9.4/3</f>
        <v>3.1333333333333333</v>
      </c>
      <c r="S19" s="47">
        <f>18.6/3</f>
        <v>6.2</v>
      </c>
      <c r="T19" s="48">
        <f>Q19+R19+S19</f>
        <v>11.4</v>
      </c>
    </row>
    <row r="20" spans="2:20" x14ac:dyDescent="0.3">
      <c r="B20" s="3">
        <v>45301</v>
      </c>
      <c r="C20" s="70" t="s">
        <v>13</v>
      </c>
      <c r="D20" s="71"/>
      <c r="E20" s="43"/>
      <c r="F20" s="44"/>
      <c r="G20" s="44"/>
      <c r="H20" s="4">
        <v>150</v>
      </c>
      <c r="I20" s="44">
        <f>F19</f>
        <v>4.08</v>
      </c>
      <c r="J20" s="44">
        <f>H20*I20</f>
        <v>612</v>
      </c>
      <c r="K20" s="45">
        <f>K19-H20</f>
        <v>1850</v>
      </c>
      <c r="L20" s="44">
        <f t="shared" si="0"/>
        <v>4.08</v>
      </c>
      <c r="M20" s="44">
        <f>M19-J20</f>
        <v>7548</v>
      </c>
      <c r="O20" s="9">
        <v>45307</v>
      </c>
      <c r="P20" s="9" t="s">
        <v>12</v>
      </c>
      <c r="Q20" s="47">
        <f>18.4/3</f>
        <v>6.1333333333333329</v>
      </c>
      <c r="R20" s="47">
        <f>9.3/3</f>
        <v>3.1</v>
      </c>
      <c r="S20" s="47">
        <f>24.2/3</f>
        <v>8.0666666666666664</v>
      </c>
      <c r="T20" s="48">
        <f>Q20+R20+S20</f>
        <v>17.299999999999997</v>
      </c>
    </row>
    <row r="21" spans="2:20" x14ac:dyDescent="0.3">
      <c r="B21" s="3">
        <v>45303</v>
      </c>
      <c r="C21" s="70" t="s">
        <v>12</v>
      </c>
      <c r="D21" s="71"/>
      <c r="E21" s="43">
        <v>250</v>
      </c>
      <c r="F21" s="44">
        <f>(5.2*0.95)+(T25/E21)</f>
        <v>4.9855999999999998</v>
      </c>
      <c r="G21" s="44">
        <f>E21*F21</f>
        <v>1246.3999999999999</v>
      </c>
      <c r="H21" s="4"/>
      <c r="I21" s="44"/>
      <c r="J21" s="44"/>
      <c r="K21" s="45">
        <f>K20+E21</f>
        <v>2100</v>
      </c>
      <c r="L21" s="44">
        <f t="shared" si="0"/>
        <v>4.1878095238095234</v>
      </c>
      <c r="M21" s="44">
        <f>M20+G21</f>
        <v>8794.4</v>
      </c>
      <c r="O21" s="12"/>
      <c r="P21" s="12"/>
      <c r="Q21" s="49"/>
      <c r="R21" s="49"/>
      <c r="S21" s="49"/>
      <c r="T21" s="50"/>
    </row>
    <row r="22" spans="2:20" x14ac:dyDescent="0.3">
      <c r="B22" s="3">
        <v>45306</v>
      </c>
      <c r="C22" s="70" t="s">
        <v>13</v>
      </c>
      <c r="D22" s="71"/>
      <c r="E22" s="43"/>
      <c r="F22" s="44"/>
      <c r="G22" s="44"/>
      <c r="H22" s="4">
        <v>500</v>
      </c>
      <c r="I22" s="44">
        <f>F19</f>
        <v>4.08</v>
      </c>
      <c r="J22" s="44">
        <f>H22*I22</f>
        <v>2040</v>
      </c>
      <c r="K22" s="45">
        <f>K21-H22</f>
        <v>1600</v>
      </c>
      <c r="L22" s="44">
        <f t="shared" si="0"/>
        <v>4.2214999999999998</v>
      </c>
      <c r="M22" s="44">
        <f>M21-J22</f>
        <v>6754.4</v>
      </c>
      <c r="O22" s="8"/>
      <c r="P22" s="8"/>
      <c r="Q22" s="8"/>
      <c r="R22" s="8"/>
      <c r="S22" s="8"/>
      <c r="T22" s="8"/>
    </row>
    <row r="23" spans="2:20" x14ac:dyDescent="0.3">
      <c r="B23" s="3">
        <v>45307</v>
      </c>
      <c r="C23" s="70" t="s">
        <v>12</v>
      </c>
      <c r="D23" s="71"/>
      <c r="E23" s="43">
        <v>300</v>
      </c>
      <c r="F23" s="44">
        <f>(4.9*0.93)+(T26/E23)</f>
        <v>4.6146666666666674</v>
      </c>
      <c r="G23" s="44">
        <f>E23*F23</f>
        <v>1384.4000000000003</v>
      </c>
      <c r="H23" s="4"/>
      <c r="I23" s="44"/>
      <c r="J23" s="44"/>
      <c r="K23" s="45">
        <f>K22+E23</f>
        <v>1900</v>
      </c>
      <c r="L23" s="44">
        <f t="shared" si="0"/>
        <v>4.2835789473684214</v>
      </c>
      <c r="M23" s="44">
        <f>M22+G23</f>
        <v>8138.8</v>
      </c>
      <c r="O23" s="23" t="s">
        <v>36</v>
      </c>
      <c r="P23" s="23"/>
      <c r="Q23" s="23"/>
      <c r="R23" s="23"/>
      <c r="S23" s="23"/>
      <c r="T23" s="23"/>
    </row>
    <row r="24" spans="2:20" x14ac:dyDescent="0.3">
      <c r="B24" s="3">
        <v>45308</v>
      </c>
      <c r="C24" s="70" t="s">
        <v>13</v>
      </c>
      <c r="D24" s="71"/>
      <c r="E24" s="43"/>
      <c r="F24" s="44"/>
      <c r="G24" s="44"/>
      <c r="H24" s="4">
        <v>120</v>
      </c>
      <c r="I24" s="44">
        <f>(F19*0.9)</f>
        <v>3.6720000000000002</v>
      </c>
      <c r="J24" s="44">
        <f>H24*I24</f>
        <v>440.64000000000004</v>
      </c>
      <c r="K24" s="45">
        <f>K23-H24</f>
        <v>1780</v>
      </c>
      <c r="L24" s="44">
        <f t="shared" si="0"/>
        <v>4.3248089887640448</v>
      </c>
      <c r="M24" s="44">
        <f>M23-J24</f>
        <v>7698.16</v>
      </c>
      <c r="O24" s="24" t="s">
        <v>30</v>
      </c>
      <c r="P24" s="24" t="s">
        <v>31</v>
      </c>
      <c r="Q24" s="24" t="s">
        <v>32</v>
      </c>
      <c r="R24" s="24" t="s">
        <v>33</v>
      </c>
      <c r="S24" s="24" t="s">
        <v>34</v>
      </c>
      <c r="T24" s="24" t="s">
        <v>35</v>
      </c>
    </row>
    <row r="25" spans="2:20" x14ac:dyDescent="0.3">
      <c r="B25" s="3">
        <v>45319</v>
      </c>
      <c r="C25" s="70" t="s">
        <v>13</v>
      </c>
      <c r="D25" s="71"/>
      <c r="E25" s="43"/>
      <c r="F25" s="44"/>
      <c r="G25" s="44"/>
      <c r="H25" s="4">
        <v>500</v>
      </c>
      <c r="I25" s="44">
        <f>F19</f>
        <v>4.08</v>
      </c>
      <c r="J25" s="44">
        <f>H25*I25</f>
        <v>2040</v>
      </c>
      <c r="K25" s="45">
        <f>K24-H25</f>
        <v>1280</v>
      </c>
      <c r="L25" s="44">
        <f t="shared" si="0"/>
        <v>4.4204375000000002</v>
      </c>
      <c r="M25" s="44">
        <f>M24-J25</f>
        <v>5658.16</v>
      </c>
      <c r="O25" s="9">
        <v>45303</v>
      </c>
      <c r="P25" s="9" t="s">
        <v>12</v>
      </c>
      <c r="Q25" s="47">
        <f>6.2/3</f>
        <v>2.0666666666666669</v>
      </c>
      <c r="R25" s="47">
        <f>9.4/3</f>
        <v>3.1333333333333333</v>
      </c>
      <c r="S25" s="47">
        <f>18.6/3</f>
        <v>6.2</v>
      </c>
      <c r="T25" s="48">
        <f>Q25+R25+S25</f>
        <v>11.4</v>
      </c>
    </row>
    <row r="26" spans="2:20" x14ac:dyDescent="0.3">
      <c r="I26" s="42"/>
      <c r="J26" s="42"/>
      <c r="L26" s="42"/>
      <c r="M26" s="42"/>
      <c r="O26" s="9">
        <v>45307</v>
      </c>
      <c r="P26" s="9" t="s">
        <v>12</v>
      </c>
      <c r="Q26" s="47">
        <f>18.4/3</f>
        <v>6.1333333333333329</v>
      </c>
      <c r="R26" s="47">
        <f>9.3/3</f>
        <v>3.1</v>
      </c>
      <c r="S26" s="47">
        <f>24.2/3</f>
        <v>8.0666666666666664</v>
      </c>
      <c r="T26" s="48">
        <f>Q26+R26+S26</f>
        <v>17.299999999999997</v>
      </c>
    </row>
    <row r="27" spans="2:20" x14ac:dyDescent="0.3">
      <c r="B27" s="82" t="s">
        <v>37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  <c r="O27" s="12"/>
      <c r="P27" s="12"/>
      <c r="Q27" s="49"/>
      <c r="R27" s="49"/>
      <c r="S27" s="49"/>
      <c r="T27" s="50"/>
    </row>
    <row r="28" spans="2:20" x14ac:dyDescent="0.3">
      <c r="B28" s="25" t="s">
        <v>1</v>
      </c>
      <c r="C28" s="25" t="s">
        <v>2</v>
      </c>
      <c r="D28" s="25"/>
      <c r="E28" s="25" t="s">
        <v>3</v>
      </c>
      <c r="F28" s="25"/>
      <c r="G28" s="25"/>
      <c r="H28" s="25" t="s">
        <v>4</v>
      </c>
      <c r="I28" s="25"/>
      <c r="J28" s="25"/>
      <c r="K28" s="25" t="s">
        <v>5</v>
      </c>
      <c r="L28" s="25"/>
      <c r="M28" s="25"/>
    </row>
    <row r="29" spans="2:20" x14ac:dyDescent="0.3">
      <c r="B29" s="25"/>
      <c r="C29" s="25" t="s">
        <v>6</v>
      </c>
      <c r="D29" s="25"/>
      <c r="E29" s="25" t="s">
        <v>7</v>
      </c>
      <c r="F29" s="25" t="s">
        <v>8</v>
      </c>
      <c r="G29" s="25" t="s">
        <v>9</v>
      </c>
      <c r="H29" s="25" t="s">
        <v>7</v>
      </c>
      <c r="I29" s="25" t="s">
        <v>8</v>
      </c>
      <c r="J29" s="25" t="s">
        <v>9</v>
      </c>
      <c r="K29" s="25" t="s">
        <v>7</v>
      </c>
      <c r="L29" s="25" t="s">
        <v>8</v>
      </c>
      <c r="M29" s="25" t="s">
        <v>10</v>
      </c>
      <c r="O29" s="23" t="s">
        <v>38</v>
      </c>
      <c r="P29" s="23"/>
      <c r="Q29" s="23"/>
      <c r="R29" s="23"/>
      <c r="S29" s="23"/>
      <c r="T29" s="23"/>
    </row>
    <row r="30" spans="2:20" x14ac:dyDescent="0.3">
      <c r="B30" s="3">
        <v>45292</v>
      </c>
      <c r="C30" s="16" t="s">
        <v>11</v>
      </c>
      <c r="D30" s="17"/>
      <c r="E30" s="43">
        <v>2500</v>
      </c>
      <c r="F30" s="44">
        <v>5.2</v>
      </c>
      <c r="G30" s="44">
        <f>E30*F30</f>
        <v>13000</v>
      </c>
      <c r="H30" s="4"/>
      <c r="I30" s="44"/>
      <c r="J30" s="44"/>
      <c r="K30" s="45">
        <f>E30</f>
        <v>2500</v>
      </c>
      <c r="L30" s="45">
        <f t="shared" ref="L30:L35" si="1">M30/K30</f>
        <v>5.2</v>
      </c>
      <c r="M30" s="44">
        <f>G30</f>
        <v>13000</v>
      </c>
      <c r="O30" s="24" t="s">
        <v>30</v>
      </c>
      <c r="P30" s="24" t="s">
        <v>31</v>
      </c>
      <c r="Q30" s="24" t="s">
        <v>32</v>
      </c>
      <c r="R30" s="24" t="s">
        <v>33</v>
      </c>
      <c r="S30" s="24" t="s">
        <v>34</v>
      </c>
      <c r="T30" s="24" t="s">
        <v>35</v>
      </c>
    </row>
    <row r="31" spans="2:20" x14ac:dyDescent="0.3">
      <c r="B31" s="3">
        <v>45303</v>
      </c>
      <c r="C31" s="16" t="s">
        <v>12</v>
      </c>
      <c r="D31" s="17"/>
      <c r="E31" s="43">
        <v>50</v>
      </c>
      <c r="F31" s="44">
        <f>(5.3*0.95)+(T31/E31)</f>
        <v>5.262999999999999</v>
      </c>
      <c r="G31" s="44">
        <f>E31*F31</f>
        <v>263.14999999999998</v>
      </c>
      <c r="H31" s="4"/>
      <c r="I31" s="44"/>
      <c r="J31" s="44"/>
      <c r="K31" s="45">
        <f>K30+E31</f>
        <v>2550</v>
      </c>
      <c r="L31" s="44">
        <f t="shared" si="1"/>
        <v>5.2012352941176472</v>
      </c>
      <c r="M31" s="44">
        <f>M30+G31</f>
        <v>13263.15</v>
      </c>
      <c r="O31" s="9">
        <v>45303</v>
      </c>
      <c r="P31" s="9" t="s">
        <v>12</v>
      </c>
      <c r="Q31" s="47">
        <f>6.2/3</f>
        <v>2.0666666666666669</v>
      </c>
      <c r="R31" s="47">
        <f>9.4/3</f>
        <v>3.1333333333333333</v>
      </c>
      <c r="S31" s="47">
        <f>18.6/3</f>
        <v>6.2</v>
      </c>
      <c r="T31" s="48">
        <f>Q31+R31+S31</f>
        <v>11.4</v>
      </c>
    </row>
    <row r="32" spans="2:20" x14ac:dyDescent="0.3">
      <c r="B32" s="3">
        <v>45306</v>
      </c>
      <c r="C32" s="16" t="s">
        <v>13</v>
      </c>
      <c r="D32" s="17"/>
      <c r="E32" s="43"/>
      <c r="F32" s="44"/>
      <c r="G32" s="44"/>
      <c r="H32" s="4">
        <v>500</v>
      </c>
      <c r="I32" s="44">
        <f>F30</f>
        <v>5.2</v>
      </c>
      <c r="J32" s="44">
        <f>H32*I32</f>
        <v>2600</v>
      </c>
      <c r="K32" s="45">
        <f>K31-H32</f>
        <v>2050</v>
      </c>
      <c r="L32" s="44">
        <f t="shared" si="1"/>
        <v>5.2015365853658535</v>
      </c>
      <c r="M32" s="44">
        <f>M31-J32</f>
        <v>10663.15</v>
      </c>
      <c r="O32" s="9">
        <v>45307</v>
      </c>
      <c r="P32" s="9" t="s">
        <v>12</v>
      </c>
      <c r="Q32" s="47">
        <f>18.4/3</f>
        <v>6.1333333333333329</v>
      </c>
      <c r="R32" s="47">
        <f>9.3/3</f>
        <v>3.1</v>
      </c>
      <c r="S32" s="47">
        <f>24.2/3</f>
        <v>8.0666666666666664</v>
      </c>
      <c r="T32" s="48">
        <f>Q32+R32+S32</f>
        <v>17.299999999999997</v>
      </c>
    </row>
    <row r="33" spans="2:20" x14ac:dyDescent="0.3">
      <c r="B33" s="3">
        <v>45307</v>
      </c>
      <c r="C33" s="16" t="s">
        <v>12</v>
      </c>
      <c r="D33" s="17"/>
      <c r="E33" s="43">
        <v>350</v>
      </c>
      <c r="F33" s="44">
        <f>(5.2*0.93)+(T32/E33)</f>
        <v>4.8854285714285721</v>
      </c>
      <c r="G33" s="44">
        <f>E33*F33</f>
        <v>1709.9000000000003</v>
      </c>
      <c r="H33" s="4"/>
      <c r="I33" s="44"/>
      <c r="J33" s="44"/>
      <c r="K33" s="45">
        <f>K32+E33</f>
        <v>2400</v>
      </c>
      <c r="L33" s="44">
        <f t="shared" si="1"/>
        <v>5.1554374999999997</v>
      </c>
      <c r="M33" s="44">
        <f>M32+G33</f>
        <v>12373.05</v>
      </c>
      <c r="O33" s="12"/>
      <c r="P33" s="12"/>
      <c r="Q33" s="49"/>
      <c r="R33" s="49"/>
      <c r="S33" s="49"/>
      <c r="T33" s="50"/>
    </row>
    <row r="34" spans="2:20" x14ac:dyDescent="0.3">
      <c r="B34" s="3">
        <v>45308</v>
      </c>
      <c r="C34" s="15" t="s">
        <v>13</v>
      </c>
      <c r="D34" s="15"/>
      <c r="E34" s="43"/>
      <c r="F34" s="44"/>
      <c r="G34" s="44"/>
      <c r="H34" s="4">
        <v>150</v>
      </c>
      <c r="I34" s="44">
        <f>(F30*0.9)</f>
        <v>4.6800000000000006</v>
      </c>
      <c r="J34" s="44">
        <f>H34*I34</f>
        <v>702.00000000000011</v>
      </c>
      <c r="K34" s="45">
        <f>K33-H34</f>
        <v>2250</v>
      </c>
      <c r="L34" s="44">
        <f t="shared" si="1"/>
        <v>5.1871333333333327</v>
      </c>
      <c r="M34" s="44">
        <f>M33-J34</f>
        <v>11671.05</v>
      </c>
    </row>
    <row r="35" spans="2:20" x14ac:dyDescent="0.3">
      <c r="B35" s="3">
        <v>45319</v>
      </c>
      <c r="C35" s="15" t="s">
        <v>13</v>
      </c>
      <c r="D35" s="15"/>
      <c r="E35" s="43"/>
      <c r="F35" s="44"/>
      <c r="G35" s="44"/>
      <c r="H35" s="4">
        <v>650</v>
      </c>
      <c r="I35" s="44">
        <f>F30</f>
        <v>5.2</v>
      </c>
      <c r="J35" s="44">
        <f>H35*I35</f>
        <v>3380</v>
      </c>
      <c r="K35" s="45">
        <f>K34-H35</f>
        <v>1600</v>
      </c>
      <c r="L35" s="44">
        <f t="shared" si="1"/>
        <v>5.1819062499999999</v>
      </c>
      <c r="M35" s="44">
        <f>M34-J35</f>
        <v>8291.0499999999993</v>
      </c>
    </row>
    <row r="36" spans="2:20" x14ac:dyDescent="0.3">
      <c r="G36" s="42"/>
      <c r="H36" s="42"/>
      <c r="J36" s="42"/>
      <c r="K36" s="42"/>
    </row>
  </sheetData>
  <mergeCells count="17">
    <mergeCell ref="C21:D21"/>
    <mergeCell ref="B5:M5"/>
    <mergeCell ref="C8:D8"/>
    <mergeCell ref="C9:D9"/>
    <mergeCell ref="C10:D10"/>
    <mergeCell ref="C11:D11"/>
    <mergeCell ref="C12:D12"/>
    <mergeCell ref="C13:D13"/>
    <mergeCell ref="C14:D14"/>
    <mergeCell ref="B16:M16"/>
    <mergeCell ref="C19:D19"/>
    <mergeCell ref="C20:D20"/>
    <mergeCell ref="C22:D22"/>
    <mergeCell ref="C23:D23"/>
    <mergeCell ref="C24:D24"/>
    <mergeCell ref="C25:D25"/>
    <mergeCell ref="B27:M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E85D-CC5A-43DC-8EDE-8202FF15A3A7}">
  <dimension ref="C4:S27"/>
  <sheetViews>
    <sheetView tabSelected="1" topLeftCell="G1" workbookViewId="0">
      <selection activeCell="O24" sqref="O24"/>
    </sheetView>
  </sheetViews>
  <sheetFormatPr baseColWidth="10" defaultRowHeight="14.4" x14ac:dyDescent="0.3"/>
  <cols>
    <col min="12" max="12" width="14.77734375" bestFit="1" customWidth="1"/>
  </cols>
  <sheetData>
    <row r="4" spans="3:19" x14ac:dyDescent="0.3">
      <c r="C4" s="13"/>
      <c r="D4" s="13"/>
      <c r="H4" s="27"/>
      <c r="I4" s="27"/>
      <c r="J4" s="27"/>
      <c r="K4" s="27"/>
      <c r="L4" s="27"/>
      <c r="M4" s="27"/>
    </row>
    <row r="5" spans="3:19" x14ac:dyDescent="0.3">
      <c r="H5" s="87" t="s">
        <v>39</v>
      </c>
      <c r="I5" s="88"/>
      <c r="J5" s="88"/>
      <c r="K5" s="88"/>
      <c r="L5" s="88"/>
      <c r="M5" s="88"/>
      <c r="N5" s="88"/>
      <c r="O5" s="89"/>
    </row>
    <row r="6" spans="3:19" ht="28.8" x14ac:dyDescent="0.3">
      <c r="G6" s="51"/>
      <c r="H6" s="29" t="s">
        <v>1</v>
      </c>
      <c r="I6" s="90" t="s">
        <v>6</v>
      </c>
      <c r="J6" s="91"/>
      <c r="K6" s="30" t="s">
        <v>40</v>
      </c>
      <c r="L6" s="31"/>
      <c r="M6" s="32"/>
      <c r="N6" s="33" t="s">
        <v>41</v>
      </c>
      <c r="O6" s="29" t="s">
        <v>10</v>
      </c>
      <c r="R6" s="39" t="s">
        <v>42</v>
      </c>
      <c r="S6" s="39"/>
    </row>
    <row r="7" spans="3:19" x14ac:dyDescent="0.3">
      <c r="G7" s="51"/>
      <c r="H7" s="34"/>
      <c r="I7" s="35"/>
      <c r="J7" s="36"/>
      <c r="K7" s="37" t="s">
        <v>7</v>
      </c>
      <c r="L7" s="37" t="s">
        <v>8</v>
      </c>
      <c r="M7" s="37" t="s">
        <v>9</v>
      </c>
      <c r="N7" s="38"/>
      <c r="O7" s="34"/>
      <c r="R7" s="39" t="s">
        <v>43</v>
      </c>
      <c r="S7" s="39" t="s">
        <v>44</v>
      </c>
    </row>
    <row r="8" spans="3:19" x14ac:dyDescent="0.3">
      <c r="G8" s="51"/>
      <c r="H8" s="3" t="s">
        <v>45</v>
      </c>
      <c r="I8" s="16" t="s">
        <v>11</v>
      </c>
      <c r="J8" s="17"/>
      <c r="K8" s="43">
        <f>D13</f>
        <v>5000</v>
      </c>
      <c r="L8" s="44">
        <f>E13</f>
        <v>0.3</v>
      </c>
      <c r="M8" s="44">
        <f>K8*L8</f>
        <v>1500</v>
      </c>
      <c r="N8" s="44"/>
      <c r="O8" s="44">
        <f>M8</f>
        <v>1500</v>
      </c>
      <c r="R8" s="10" t="s">
        <v>46</v>
      </c>
      <c r="S8" s="52">
        <f>3005.06</f>
        <v>3005.06</v>
      </c>
    </row>
    <row r="9" spans="3:19" x14ac:dyDescent="0.3">
      <c r="G9" s="51"/>
      <c r="H9" s="3" t="s">
        <v>47</v>
      </c>
      <c r="I9" s="16" t="s">
        <v>12</v>
      </c>
      <c r="J9" s="17"/>
      <c r="K9" s="43">
        <v>1000</v>
      </c>
      <c r="L9" s="44">
        <v>0.32</v>
      </c>
      <c r="M9" s="44">
        <f>K9*L9</f>
        <v>320</v>
      </c>
      <c r="N9" s="44">
        <f>P15</f>
        <v>1954.1737499999999</v>
      </c>
      <c r="O9" s="44">
        <f>M9+N9</f>
        <v>2274.1737499999999</v>
      </c>
      <c r="R9" s="4" t="s">
        <v>48</v>
      </c>
      <c r="S9" s="44">
        <v>360.61</v>
      </c>
    </row>
    <row r="10" spans="3:19" x14ac:dyDescent="0.3">
      <c r="G10" s="51"/>
      <c r="H10" s="3" t="s">
        <v>49</v>
      </c>
      <c r="I10" s="16" t="s">
        <v>12</v>
      </c>
      <c r="J10" s="17"/>
      <c r="K10" s="43">
        <v>500</v>
      </c>
      <c r="L10" s="44">
        <v>0.32</v>
      </c>
      <c r="M10" s="44">
        <f>K10*L10</f>
        <v>160</v>
      </c>
      <c r="N10" s="44">
        <f>P19</f>
        <v>1953.1987500000002</v>
      </c>
      <c r="O10" s="44">
        <f>M10+N10</f>
        <v>2113.1987500000005</v>
      </c>
      <c r="R10" s="4" t="s">
        <v>33</v>
      </c>
      <c r="S10" s="44">
        <v>180.3</v>
      </c>
    </row>
    <row r="11" spans="3:19" x14ac:dyDescent="0.3">
      <c r="C11" s="86" t="s">
        <v>50</v>
      </c>
      <c r="D11" s="86"/>
      <c r="E11" s="86"/>
      <c r="F11" s="86"/>
      <c r="G11" s="51"/>
      <c r="O11" s="53">
        <f>SUM(O8:O10)</f>
        <v>5887.3725000000004</v>
      </c>
      <c r="R11" s="4" t="s">
        <v>51</v>
      </c>
      <c r="S11" s="44">
        <v>150.25</v>
      </c>
    </row>
    <row r="12" spans="3:19" x14ac:dyDescent="0.3">
      <c r="C12" s="59" t="s">
        <v>43</v>
      </c>
      <c r="D12" s="59" t="s">
        <v>52</v>
      </c>
      <c r="E12" s="59" t="s">
        <v>53</v>
      </c>
      <c r="F12" s="59" t="s">
        <v>44</v>
      </c>
      <c r="R12" s="4" t="s">
        <v>54</v>
      </c>
      <c r="S12" s="44">
        <v>601.01</v>
      </c>
    </row>
    <row r="13" spans="3:19" x14ac:dyDescent="0.3">
      <c r="C13" s="4" t="s">
        <v>55</v>
      </c>
      <c r="D13" s="43">
        <v>5000</v>
      </c>
      <c r="E13" s="44">
        <v>0.3</v>
      </c>
      <c r="F13" s="44">
        <f>D13*E13</f>
        <v>1500</v>
      </c>
      <c r="H13" s="92" t="s">
        <v>56</v>
      </c>
      <c r="I13" s="92"/>
      <c r="J13" s="92"/>
      <c r="K13" s="92"/>
      <c r="L13" s="92"/>
      <c r="M13" s="92"/>
      <c r="N13" s="92"/>
      <c r="O13" s="92"/>
      <c r="P13" s="92"/>
      <c r="R13" s="4" t="s">
        <v>57</v>
      </c>
      <c r="S13" s="54">
        <v>901.5</v>
      </c>
    </row>
    <row r="14" spans="3:19" x14ac:dyDescent="0.3">
      <c r="C14" s="4"/>
      <c r="D14" s="43"/>
      <c r="E14" s="44"/>
      <c r="F14" s="55">
        <f>F13</f>
        <v>1500</v>
      </c>
      <c r="H14" s="28" t="s">
        <v>31</v>
      </c>
      <c r="I14" s="2" t="s">
        <v>58</v>
      </c>
      <c r="J14" s="2" t="s">
        <v>48</v>
      </c>
      <c r="K14" s="2" t="s">
        <v>33</v>
      </c>
      <c r="L14" s="2" t="s">
        <v>59</v>
      </c>
      <c r="M14" s="2" t="s">
        <v>60</v>
      </c>
      <c r="N14" s="2" t="s">
        <v>61</v>
      </c>
      <c r="O14" s="2" t="s">
        <v>62</v>
      </c>
      <c r="P14" s="2" t="s">
        <v>63</v>
      </c>
      <c r="S14" s="55">
        <f>SUM(S8:S13)</f>
        <v>5198.7300000000005</v>
      </c>
    </row>
    <row r="15" spans="3:19" x14ac:dyDescent="0.3">
      <c r="H15" s="18" t="s">
        <v>64</v>
      </c>
      <c r="I15" s="47">
        <f>S8/2</f>
        <v>1502.53</v>
      </c>
      <c r="J15" s="47">
        <f>S9/2</f>
        <v>180.30500000000001</v>
      </c>
      <c r="K15" s="47">
        <f>S10/2</f>
        <v>90.15</v>
      </c>
      <c r="L15" s="47">
        <f>(S11/2)+6.2</f>
        <v>81.325000000000003</v>
      </c>
      <c r="M15" s="47">
        <f>S12/2</f>
        <v>300.505</v>
      </c>
      <c r="N15" s="54">
        <f>S13/2</f>
        <v>450.75</v>
      </c>
      <c r="O15" s="48">
        <f>SUM(I15:N15)</f>
        <v>2605.5650000000001</v>
      </c>
      <c r="P15" s="54">
        <f>O15*0.75</f>
        <v>1954.1737499999999</v>
      </c>
    </row>
    <row r="16" spans="3:19" x14ac:dyDescent="0.3">
      <c r="R16" s="93" t="s">
        <v>65</v>
      </c>
      <c r="S16" s="93"/>
    </row>
    <row r="17" spans="4:19" x14ac:dyDescent="0.3">
      <c r="H17" s="94" t="s">
        <v>66</v>
      </c>
      <c r="I17" s="92"/>
      <c r="J17" s="92"/>
      <c r="K17" s="92"/>
      <c r="L17" s="92"/>
      <c r="M17" s="92"/>
      <c r="N17" s="92"/>
      <c r="O17" s="92"/>
      <c r="P17" s="92"/>
      <c r="R17" s="4" t="s">
        <v>52</v>
      </c>
      <c r="S17" s="4">
        <v>1000</v>
      </c>
    </row>
    <row r="18" spans="4:19" x14ac:dyDescent="0.3">
      <c r="H18" s="2" t="s">
        <v>31</v>
      </c>
      <c r="I18" s="2" t="s">
        <v>58</v>
      </c>
      <c r="J18" s="2" t="s">
        <v>48</v>
      </c>
      <c r="K18" s="2" t="s">
        <v>33</v>
      </c>
      <c r="L18" s="2" t="s">
        <v>59</v>
      </c>
      <c r="M18" s="2" t="s">
        <v>60</v>
      </c>
      <c r="N18" s="2" t="s">
        <v>61</v>
      </c>
      <c r="O18" s="2" t="s">
        <v>62</v>
      </c>
      <c r="P18" s="2" t="s">
        <v>63</v>
      </c>
    </row>
    <row r="19" spans="4:19" x14ac:dyDescent="0.3">
      <c r="H19" s="9" t="s">
        <v>67</v>
      </c>
      <c r="I19" s="47">
        <f>S8/2</f>
        <v>1502.53</v>
      </c>
      <c r="J19" s="47">
        <f>S9/2</f>
        <v>180.30500000000001</v>
      </c>
      <c r="K19" s="47">
        <f>S10/2</f>
        <v>90.15</v>
      </c>
      <c r="L19" s="47">
        <f>(S11/2)+4.9</f>
        <v>80.025000000000006</v>
      </c>
      <c r="M19" s="47">
        <f>S12/2</f>
        <v>300.505</v>
      </c>
      <c r="N19" s="54">
        <f>S13/2</f>
        <v>450.75</v>
      </c>
      <c r="O19" s="48">
        <f>SUM(I19:N19)</f>
        <v>2604.2650000000003</v>
      </c>
      <c r="P19" s="54">
        <f>O19*0.75</f>
        <v>1953.1987500000002</v>
      </c>
    </row>
    <row r="22" spans="4:19" x14ac:dyDescent="0.3">
      <c r="D22" s="56"/>
    </row>
    <row r="24" spans="4:19" x14ac:dyDescent="0.3">
      <c r="H24" s="14"/>
      <c r="I24" s="85" t="s">
        <v>68</v>
      </c>
      <c r="J24" s="85"/>
      <c r="K24" s="57">
        <f>O11</f>
        <v>5887.3725000000004</v>
      </c>
    </row>
    <row r="25" spans="4:19" x14ac:dyDescent="0.3">
      <c r="H25" s="14"/>
      <c r="I25" s="14"/>
      <c r="J25" s="14"/>
      <c r="K25" s="14"/>
    </row>
    <row r="26" spans="4:19" x14ac:dyDescent="0.3">
      <c r="H26" s="14"/>
      <c r="I26" s="85" t="s">
        <v>69</v>
      </c>
      <c r="J26" s="85"/>
      <c r="K26" s="57">
        <f>O11/S17</f>
        <v>5.8873725000000006</v>
      </c>
    </row>
    <row r="27" spans="4:19" x14ac:dyDescent="0.3">
      <c r="K27" s="12"/>
      <c r="L27" s="58"/>
    </row>
  </sheetData>
  <mergeCells count="8">
    <mergeCell ref="R16:S16"/>
    <mergeCell ref="H17:P17"/>
    <mergeCell ref="I24:J24"/>
    <mergeCell ref="I26:J26"/>
    <mergeCell ref="C11:F11"/>
    <mergeCell ref="H5:O5"/>
    <mergeCell ref="I6:J6"/>
    <mergeCell ref="H13:P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BA27-D257-4C10-8F7F-768EA8BD565F}">
  <dimension ref="C4:M22"/>
  <sheetViews>
    <sheetView zoomScaleNormal="100" workbookViewId="0">
      <selection activeCell="G16" sqref="G16"/>
    </sheetView>
  </sheetViews>
  <sheetFormatPr baseColWidth="10" defaultRowHeight="14.4" x14ac:dyDescent="0.3"/>
  <cols>
    <col min="6" max="6" width="12.44140625" bestFit="1" customWidth="1"/>
    <col min="9" max="9" width="12.44140625" bestFit="1" customWidth="1"/>
    <col min="11" max="11" width="12.44140625" bestFit="1" customWidth="1"/>
  </cols>
  <sheetData>
    <row r="4" spans="3:13" x14ac:dyDescent="0.3">
      <c r="C4" s="19"/>
      <c r="D4" s="19"/>
      <c r="E4" s="19"/>
      <c r="F4" s="19"/>
      <c r="G4" s="19"/>
      <c r="M4" s="19"/>
    </row>
    <row r="5" spans="3:13" x14ac:dyDescent="0.3">
      <c r="C5" s="19"/>
      <c r="D5" s="19"/>
      <c r="E5" s="19"/>
      <c r="F5" s="19"/>
      <c r="G5" s="19"/>
      <c r="H5" s="104" t="s">
        <v>70</v>
      </c>
      <c r="I5" s="104"/>
      <c r="K5" s="104" t="s">
        <v>71</v>
      </c>
      <c r="L5" s="104"/>
      <c r="M5" s="19"/>
    </row>
    <row r="6" spans="3:13" x14ac:dyDescent="0.3">
      <c r="H6" s="41" t="s">
        <v>52</v>
      </c>
      <c r="I6" s="60">
        <v>10000</v>
      </c>
      <c r="K6" s="4" t="s">
        <v>72</v>
      </c>
      <c r="L6" s="55">
        <f>40.9</f>
        <v>40.9</v>
      </c>
    </row>
    <row r="7" spans="3:13" x14ac:dyDescent="0.3">
      <c r="C7" s="40"/>
      <c r="D7" s="40"/>
      <c r="E7" s="40"/>
      <c r="F7" s="40"/>
      <c r="G7" s="40"/>
      <c r="M7" s="40"/>
    </row>
    <row r="8" spans="3:13" x14ac:dyDescent="0.3">
      <c r="C8" s="26" t="s">
        <v>73</v>
      </c>
      <c r="D8" s="26" t="s">
        <v>52</v>
      </c>
      <c r="E8" s="26" t="s">
        <v>53</v>
      </c>
      <c r="F8" s="26" t="s">
        <v>44</v>
      </c>
      <c r="H8" s="104" t="s">
        <v>74</v>
      </c>
      <c r="I8" s="104"/>
      <c r="K8" s="104" t="s">
        <v>75</v>
      </c>
      <c r="L8" s="104"/>
    </row>
    <row r="9" spans="3:13" x14ac:dyDescent="0.3">
      <c r="C9" s="4" t="s">
        <v>76</v>
      </c>
      <c r="D9" s="43">
        <v>200</v>
      </c>
      <c r="E9" s="44">
        <v>32.5</v>
      </c>
      <c r="F9" s="44">
        <f>D9*E9</f>
        <v>6500</v>
      </c>
      <c r="H9" s="10" t="s">
        <v>52</v>
      </c>
      <c r="I9" s="61">
        <f>I6*0.75</f>
        <v>7500</v>
      </c>
      <c r="K9" s="4" t="s">
        <v>77</v>
      </c>
      <c r="L9" s="11">
        <f>(L6-M14)/L6</f>
        <v>0.18044368378158115</v>
      </c>
    </row>
    <row r="10" spans="3:13" x14ac:dyDescent="0.3">
      <c r="C10" s="4" t="s">
        <v>38</v>
      </c>
      <c r="D10" s="43">
        <v>600</v>
      </c>
      <c r="E10" s="44">
        <v>25.6</v>
      </c>
      <c r="F10" s="44">
        <f>D10*E10</f>
        <v>15360</v>
      </c>
    </row>
    <row r="11" spans="3:13" x14ac:dyDescent="0.3">
      <c r="C11" s="4" t="s">
        <v>36</v>
      </c>
      <c r="D11" s="43">
        <v>1400</v>
      </c>
      <c r="E11" s="44">
        <v>63.3</v>
      </c>
      <c r="F11" s="44">
        <f>D11*E11</f>
        <v>88620</v>
      </c>
      <c r="H11" s="105" t="s">
        <v>78</v>
      </c>
      <c r="I11" s="106"/>
      <c r="J11" s="105" t="s">
        <v>79</v>
      </c>
      <c r="K11" s="106"/>
      <c r="L11" s="105" t="s">
        <v>80</v>
      </c>
      <c r="M11" s="106"/>
    </row>
    <row r="12" spans="3:13" x14ac:dyDescent="0.3">
      <c r="C12" s="4" t="s">
        <v>81</v>
      </c>
      <c r="D12" s="43">
        <v>900</v>
      </c>
      <c r="E12" s="44">
        <v>73.3</v>
      </c>
      <c r="F12" s="44">
        <f>D12*E12</f>
        <v>65970</v>
      </c>
      <c r="H12" s="4" t="s">
        <v>82</v>
      </c>
      <c r="I12" s="54">
        <f>F14</f>
        <v>208144</v>
      </c>
      <c r="J12" s="4" t="s">
        <v>83</v>
      </c>
      <c r="K12" s="54">
        <f>I14</f>
        <v>251398.9</v>
      </c>
      <c r="L12" s="4" t="s">
        <v>83</v>
      </c>
      <c r="M12" s="54">
        <f>K12</f>
        <v>251398.9</v>
      </c>
    </row>
    <row r="13" spans="3:13" x14ac:dyDescent="0.3">
      <c r="C13" s="4" t="s">
        <v>84</v>
      </c>
      <c r="D13" s="43">
        <v>2990</v>
      </c>
      <c r="E13" s="44">
        <v>10.6</v>
      </c>
      <c r="F13" s="44">
        <f>D13*E13</f>
        <v>31694</v>
      </c>
      <c r="H13" s="4" t="s">
        <v>85</v>
      </c>
      <c r="I13" s="45">
        <f>D19</f>
        <v>43254.9</v>
      </c>
      <c r="J13" s="4" t="s">
        <v>52</v>
      </c>
      <c r="K13" s="45">
        <f>I6</f>
        <v>10000</v>
      </c>
      <c r="L13" s="4" t="s">
        <v>52</v>
      </c>
      <c r="M13" s="45">
        <f>I9</f>
        <v>7500</v>
      </c>
    </row>
    <row r="14" spans="3:13" x14ac:dyDescent="0.3">
      <c r="C14" s="4"/>
      <c r="D14" s="4"/>
      <c r="E14" s="4"/>
      <c r="F14" s="53">
        <f>SUM(F9:F13)</f>
        <v>208144</v>
      </c>
      <c r="H14" s="4" t="s">
        <v>44</v>
      </c>
      <c r="I14" s="53">
        <f>I12+I13</f>
        <v>251398.9</v>
      </c>
      <c r="J14" s="4" t="s">
        <v>86</v>
      </c>
      <c r="K14" s="55">
        <f>K12/K13</f>
        <v>25.139890000000001</v>
      </c>
      <c r="L14" s="4" t="s">
        <v>86</v>
      </c>
      <c r="M14" s="55">
        <f>M12/M13</f>
        <v>33.51985333333333</v>
      </c>
    </row>
    <row r="18" spans="3:11" x14ac:dyDescent="0.3">
      <c r="C18" s="87" t="s">
        <v>87</v>
      </c>
      <c r="D18" s="89"/>
      <c r="E18" s="87" t="s">
        <v>42</v>
      </c>
      <c r="F18" s="89"/>
      <c r="H18" s="95" t="s">
        <v>88</v>
      </c>
      <c r="I18" s="95"/>
      <c r="J18" s="96">
        <f>F19/(L6-M14)</f>
        <v>10246.910178840164</v>
      </c>
      <c r="K18" s="98" t="s">
        <v>52</v>
      </c>
    </row>
    <row r="19" spans="3:11" x14ac:dyDescent="0.3">
      <c r="C19" s="10" t="s">
        <v>89</v>
      </c>
      <c r="D19" s="61">
        <v>43254.9</v>
      </c>
      <c r="E19" s="10" t="s">
        <v>90</v>
      </c>
      <c r="F19" s="61">
        <v>75623.7</v>
      </c>
      <c r="H19" s="95"/>
      <c r="I19" s="95"/>
      <c r="J19" s="97"/>
      <c r="K19" s="99"/>
    </row>
    <row r="20" spans="3:11" x14ac:dyDescent="0.3">
      <c r="I20" s="62"/>
    </row>
    <row r="21" spans="3:11" x14ac:dyDescent="0.3">
      <c r="H21" s="27"/>
      <c r="I21" s="63"/>
      <c r="J21" s="100">
        <f>F19/L9</f>
        <v>419098.62631456269</v>
      </c>
      <c r="K21" s="102" t="s">
        <v>91</v>
      </c>
    </row>
    <row r="22" spans="3:11" x14ac:dyDescent="0.3">
      <c r="H22" s="27"/>
      <c r="I22" s="63"/>
      <c r="J22" s="101"/>
      <c r="K22" s="103"/>
    </row>
  </sheetData>
  <mergeCells count="14">
    <mergeCell ref="J21:J22"/>
    <mergeCell ref="K21:K22"/>
    <mergeCell ref="H5:I5"/>
    <mergeCell ref="K5:L5"/>
    <mergeCell ref="H8:I8"/>
    <mergeCell ref="K8:L8"/>
    <mergeCell ref="H11:I11"/>
    <mergeCell ref="J11:K11"/>
    <mergeCell ref="L11:M11"/>
    <mergeCell ref="C18:D18"/>
    <mergeCell ref="E18:F18"/>
    <mergeCell ref="H18:I19"/>
    <mergeCell ref="J18:J19"/>
    <mergeCell ref="K18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1</vt:lpstr>
      <vt:lpstr>EJERCICIO 2</vt:lpstr>
      <vt:lpstr>EJERCICIO 3</vt:lpstr>
      <vt:lpstr>EJERCICIO 4</vt:lpstr>
      <vt:lpstr>EJERCICIO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Daniel López Ruiz</dc:creator>
  <cp:lastModifiedBy>Oscar Daniel López Ruiz</cp:lastModifiedBy>
  <dcterms:created xsi:type="dcterms:W3CDTF">2024-03-15T22:12:51Z</dcterms:created>
  <dcterms:modified xsi:type="dcterms:W3CDTF">2024-03-15T22:19:33Z</dcterms:modified>
</cp:coreProperties>
</file>