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xzyl\Downloads\"/>
    </mc:Choice>
  </mc:AlternateContent>
  <bookViews>
    <workbookView xWindow="0" yWindow="0" windowWidth="23040" windowHeight="9072" activeTab="3"/>
  </bookViews>
  <sheets>
    <sheet name="TAREA 1" sheetId="1" r:id="rId1"/>
    <sheet name="TAREA 2" sheetId="3" r:id="rId2"/>
    <sheet name="TAREA 3" sheetId="5" r:id="rId3"/>
    <sheet name="TAREA 4" sheetId="6" r:id="rId4"/>
    <sheet name="TAREA 5" sheetId="7"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7" l="1"/>
  <c r="D25" i="7"/>
  <c r="G22" i="7" l="1"/>
  <c r="E22" i="7"/>
  <c r="C22" i="7"/>
  <c r="G21" i="7"/>
  <c r="E21" i="7"/>
  <c r="C21" i="7"/>
  <c r="G20" i="7"/>
  <c r="E20" i="7"/>
  <c r="C20" i="7"/>
  <c r="E14" i="7"/>
  <c r="E13" i="7"/>
  <c r="E12" i="7"/>
  <c r="K11" i="7"/>
  <c r="H11" i="7"/>
  <c r="E11" i="7"/>
  <c r="E10" i="7"/>
  <c r="E9" i="7"/>
  <c r="K8" i="7"/>
  <c r="K32" i="6"/>
  <c r="K31" i="6"/>
  <c r="H31" i="6"/>
  <c r="G31" i="6"/>
  <c r="C22" i="6"/>
  <c r="I23" i="6" s="1"/>
  <c r="I31" i="6" s="1"/>
  <c r="K28" i="6"/>
  <c r="J28" i="6"/>
  <c r="J32" i="6" s="1"/>
  <c r="H28" i="6"/>
  <c r="H32" i="6" s="1"/>
  <c r="G28" i="6"/>
  <c r="G32" i="6" s="1"/>
  <c r="F28" i="6"/>
  <c r="C19" i="6"/>
  <c r="K23" i="6"/>
  <c r="J23" i="6"/>
  <c r="J31" i="6" s="1"/>
  <c r="H23" i="6"/>
  <c r="G23" i="6"/>
  <c r="C13" i="6"/>
  <c r="F23" i="6" s="1"/>
  <c r="J18" i="6"/>
  <c r="J17" i="6"/>
  <c r="I16" i="6"/>
  <c r="H16" i="6"/>
  <c r="J16" i="6" s="1"/>
  <c r="L16" i="6" s="1"/>
  <c r="E8" i="6"/>
  <c r="E9" i="6" s="1"/>
  <c r="M38" i="5"/>
  <c r="L38" i="5"/>
  <c r="K38" i="5"/>
  <c r="J38" i="5"/>
  <c r="I38" i="5"/>
  <c r="M37" i="5"/>
  <c r="L37" i="5"/>
  <c r="K37" i="5"/>
  <c r="J37" i="5"/>
  <c r="I37" i="5"/>
  <c r="M36" i="5"/>
  <c r="L36" i="5"/>
  <c r="K36" i="5"/>
  <c r="G36" i="5"/>
  <c r="F36" i="5"/>
  <c r="M35" i="5"/>
  <c r="L35" i="5"/>
  <c r="K35" i="5"/>
  <c r="J35" i="5"/>
  <c r="I35" i="5"/>
  <c r="M34" i="5"/>
  <c r="L34" i="5"/>
  <c r="K34" i="5"/>
  <c r="G34" i="5"/>
  <c r="F34" i="5"/>
  <c r="M33" i="5"/>
  <c r="L33" i="5"/>
  <c r="K33" i="5"/>
  <c r="G33" i="5"/>
  <c r="M28" i="5"/>
  <c r="L28" i="5"/>
  <c r="K28" i="5"/>
  <c r="J28" i="5"/>
  <c r="I28" i="5"/>
  <c r="M27" i="5"/>
  <c r="L27" i="5"/>
  <c r="K27" i="5"/>
  <c r="J27" i="5"/>
  <c r="I27" i="5"/>
  <c r="M26" i="5"/>
  <c r="L26" i="5"/>
  <c r="K26" i="5"/>
  <c r="G26" i="5"/>
  <c r="F26" i="5"/>
  <c r="M25" i="5"/>
  <c r="L25" i="5"/>
  <c r="K25" i="5"/>
  <c r="J25" i="5"/>
  <c r="I25" i="5"/>
  <c r="M24" i="5"/>
  <c r="L24" i="5"/>
  <c r="K24" i="5"/>
  <c r="G24" i="5"/>
  <c r="F24" i="5"/>
  <c r="T23" i="5"/>
  <c r="S23" i="5"/>
  <c r="R23" i="5"/>
  <c r="Q23" i="5"/>
  <c r="M23" i="5"/>
  <c r="L23" i="5"/>
  <c r="K23" i="5"/>
  <c r="J23" i="5"/>
  <c r="I23" i="5"/>
  <c r="T22" i="5"/>
  <c r="S22" i="5"/>
  <c r="R22" i="5"/>
  <c r="Q22" i="5"/>
  <c r="M22" i="5"/>
  <c r="L22" i="5"/>
  <c r="K22" i="5"/>
  <c r="G22" i="5"/>
  <c r="T17" i="5"/>
  <c r="S17" i="5"/>
  <c r="R17" i="5"/>
  <c r="Q17" i="5"/>
  <c r="M17" i="5"/>
  <c r="K17" i="5"/>
  <c r="J17" i="5"/>
  <c r="I17" i="5"/>
  <c r="T16" i="5"/>
  <c r="S16" i="5"/>
  <c r="R16" i="5"/>
  <c r="Q16" i="5"/>
  <c r="M16" i="5"/>
  <c r="L16" i="5"/>
  <c r="K16" i="5"/>
  <c r="J16" i="5"/>
  <c r="I16" i="5"/>
  <c r="M15" i="5"/>
  <c r="L15" i="5"/>
  <c r="K15" i="5"/>
  <c r="G15" i="5"/>
  <c r="F15" i="5"/>
  <c r="M14" i="5"/>
  <c r="L14" i="5"/>
  <c r="K14" i="5"/>
  <c r="J14" i="5"/>
  <c r="I14" i="5"/>
  <c r="M13" i="5"/>
  <c r="L13" i="5"/>
  <c r="K13" i="5"/>
  <c r="G13" i="5"/>
  <c r="F13" i="5"/>
  <c r="M12" i="5"/>
  <c r="L12" i="5"/>
  <c r="K12" i="5"/>
  <c r="J12" i="5"/>
  <c r="I12" i="5"/>
  <c r="T11" i="5"/>
  <c r="S11" i="5"/>
  <c r="R11" i="5"/>
  <c r="Q11" i="5"/>
  <c r="M11" i="5"/>
  <c r="L11" i="5"/>
  <c r="K11" i="5"/>
  <c r="G11" i="5"/>
  <c r="T10" i="5"/>
  <c r="S10" i="5"/>
  <c r="R10" i="5"/>
  <c r="Q10" i="5"/>
  <c r="N36" i="3"/>
  <c r="M36" i="3"/>
  <c r="L36" i="3"/>
  <c r="K36" i="3"/>
  <c r="H36" i="3"/>
  <c r="N35" i="3"/>
  <c r="M35" i="3"/>
  <c r="L35" i="3"/>
  <c r="K35" i="3"/>
  <c r="J35" i="3"/>
  <c r="H35" i="3"/>
  <c r="N34" i="3"/>
  <c r="M34" i="3"/>
  <c r="L34" i="3"/>
  <c r="K34" i="3"/>
  <c r="J34" i="3"/>
  <c r="H34" i="3"/>
  <c r="N33" i="3"/>
  <c r="M33" i="3"/>
  <c r="L33" i="3"/>
  <c r="K33" i="3"/>
  <c r="J33" i="3"/>
  <c r="H33" i="3"/>
  <c r="N32" i="3"/>
  <c r="M32" i="3"/>
  <c r="L32" i="3"/>
  <c r="K32" i="3"/>
  <c r="H32" i="3"/>
  <c r="N31" i="3"/>
  <c r="M31" i="3"/>
  <c r="L31" i="3"/>
  <c r="K31" i="3"/>
  <c r="H31" i="3"/>
  <c r="N30" i="3"/>
  <c r="L30" i="3"/>
  <c r="K30" i="3"/>
  <c r="J30" i="3"/>
  <c r="H30" i="3"/>
  <c r="N29" i="3"/>
  <c r="M29" i="3"/>
  <c r="L29" i="3"/>
  <c r="K29" i="3"/>
  <c r="J29" i="3"/>
  <c r="H29" i="3"/>
  <c r="N28" i="3"/>
  <c r="M28" i="3"/>
  <c r="L28" i="3"/>
  <c r="K28" i="3"/>
  <c r="H28" i="3"/>
  <c r="N27" i="3"/>
  <c r="M27" i="3"/>
  <c r="L27" i="3"/>
  <c r="K27" i="3"/>
  <c r="H27" i="3"/>
  <c r="N19" i="3"/>
  <c r="M19" i="3"/>
  <c r="L19" i="3"/>
  <c r="H19" i="3"/>
  <c r="N18" i="3"/>
  <c r="M18" i="3"/>
  <c r="L18" i="3"/>
  <c r="K18" i="3"/>
  <c r="J18" i="3"/>
  <c r="N17" i="3"/>
  <c r="M17" i="3"/>
  <c r="L17" i="3"/>
  <c r="K17" i="3"/>
  <c r="J17" i="3"/>
  <c r="N16" i="3"/>
  <c r="M16" i="3"/>
  <c r="L16" i="3"/>
  <c r="K16" i="3"/>
  <c r="J16" i="3"/>
  <c r="N15" i="3"/>
  <c r="M15" i="3"/>
  <c r="L15" i="3"/>
  <c r="H15" i="3"/>
  <c r="N14" i="3"/>
  <c r="M14" i="3"/>
  <c r="L14" i="3"/>
  <c r="H14" i="3"/>
  <c r="N13" i="3"/>
  <c r="L13" i="3"/>
  <c r="K13" i="3"/>
  <c r="J13" i="3"/>
  <c r="N12" i="3"/>
  <c r="M12" i="3"/>
  <c r="L12" i="3"/>
  <c r="K12" i="3"/>
  <c r="J12" i="3"/>
  <c r="N11" i="3"/>
  <c r="M11" i="3"/>
  <c r="L11" i="3"/>
  <c r="H11" i="3"/>
  <c r="N10" i="3"/>
  <c r="M10" i="3"/>
  <c r="L10" i="3"/>
  <c r="H10" i="3"/>
  <c r="M38" i="1"/>
  <c r="L38" i="1"/>
  <c r="K38" i="1"/>
  <c r="J38" i="1"/>
  <c r="I38" i="1"/>
  <c r="G38" i="1"/>
  <c r="M37" i="1"/>
  <c r="L37" i="1"/>
  <c r="K37" i="1"/>
  <c r="J37" i="1"/>
  <c r="I37" i="1"/>
  <c r="G37" i="1"/>
  <c r="M36" i="1"/>
  <c r="L36" i="1"/>
  <c r="K36" i="1"/>
  <c r="J36" i="1"/>
  <c r="G36" i="1"/>
  <c r="M35" i="1"/>
  <c r="L35" i="1"/>
  <c r="K35" i="1"/>
  <c r="J35" i="1"/>
  <c r="G35" i="1"/>
  <c r="M34" i="1"/>
  <c r="L34" i="1"/>
  <c r="K34" i="1"/>
  <c r="J34" i="1"/>
  <c r="G34" i="1"/>
  <c r="M33" i="1"/>
  <c r="K33" i="1"/>
  <c r="J33" i="1"/>
  <c r="I33" i="1"/>
  <c r="G33" i="1"/>
  <c r="M32" i="1"/>
  <c r="L32" i="1"/>
  <c r="K32" i="1"/>
  <c r="J32" i="1"/>
  <c r="G32" i="1"/>
  <c r="M31" i="1"/>
  <c r="L31" i="1"/>
  <c r="K31" i="1"/>
  <c r="J31" i="1"/>
  <c r="G31" i="1"/>
  <c r="M30" i="1"/>
  <c r="L30" i="1"/>
  <c r="K30" i="1"/>
  <c r="J30" i="1"/>
  <c r="G30" i="1"/>
  <c r="M29" i="1"/>
  <c r="L29" i="1"/>
  <c r="K29" i="1"/>
  <c r="J29" i="1"/>
  <c r="G29" i="1"/>
  <c r="M28" i="1"/>
  <c r="L28" i="1"/>
  <c r="K28" i="1"/>
  <c r="J28" i="1"/>
  <c r="G28" i="1"/>
  <c r="M20" i="1"/>
  <c r="L20" i="1"/>
  <c r="K20" i="1"/>
  <c r="J20" i="1"/>
  <c r="I20" i="1"/>
  <c r="G20" i="1"/>
  <c r="M19" i="1"/>
  <c r="L19" i="1"/>
  <c r="K19" i="1"/>
  <c r="J19" i="1"/>
  <c r="I19" i="1"/>
  <c r="G19" i="1"/>
  <c r="M18" i="1"/>
  <c r="L18" i="1"/>
  <c r="K18" i="1"/>
  <c r="J18" i="1"/>
  <c r="I18" i="1"/>
  <c r="G18" i="1"/>
  <c r="M17" i="1"/>
  <c r="L17" i="1"/>
  <c r="K17" i="1"/>
  <c r="J17" i="1"/>
  <c r="G17" i="1"/>
  <c r="M16" i="1"/>
  <c r="L16" i="1"/>
  <c r="K16" i="1"/>
  <c r="J16" i="1"/>
  <c r="G16" i="1"/>
  <c r="M15" i="1"/>
  <c r="K15" i="1"/>
  <c r="J15" i="1"/>
  <c r="I15" i="1"/>
  <c r="M14" i="1"/>
  <c r="L14" i="1"/>
  <c r="K14" i="1"/>
  <c r="J14" i="1"/>
  <c r="I14" i="1"/>
  <c r="G14" i="1"/>
  <c r="M13" i="1"/>
  <c r="L13" i="1"/>
  <c r="K13" i="1"/>
  <c r="J13" i="1"/>
  <c r="I13" i="1"/>
  <c r="G13" i="1"/>
  <c r="M12" i="1"/>
  <c r="L12" i="1"/>
  <c r="K12" i="1"/>
  <c r="J12" i="1"/>
  <c r="I12" i="1"/>
  <c r="G12" i="1"/>
  <c r="M11" i="1"/>
  <c r="L11" i="1"/>
  <c r="K11" i="1"/>
  <c r="J11" i="1"/>
  <c r="G11" i="1"/>
  <c r="M10" i="1"/>
  <c r="L10" i="1"/>
  <c r="K10" i="1"/>
  <c r="J10" i="1"/>
  <c r="G10" i="1"/>
  <c r="L28" i="6" l="1"/>
  <c r="M28" i="6" s="1"/>
  <c r="L23" i="6"/>
  <c r="M23" i="6" s="1"/>
  <c r="C23" i="6"/>
  <c r="I28" i="6" s="1"/>
  <c r="I32" i="6" s="1"/>
  <c r="F31" i="6"/>
  <c r="L31" i="6" s="1"/>
  <c r="F32" i="6"/>
  <c r="K18" i="6" l="1"/>
  <c r="L18" i="6" s="1"/>
  <c r="M32" i="6"/>
  <c r="L32" i="6"/>
  <c r="L33" i="6"/>
  <c r="M31" i="6"/>
  <c r="K17" i="6"/>
  <c r="L17" i="6" s="1"/>
  <c r="M33" i="6" l="1"/>
  <c r="L19" i="6"/>
  <c r="F37" i="6" l="1"/>
  <c r="F35" i="6"/>
</calcChain>
</file>

<file path=xl/sharedStrings.xml><?xml version="1.0" encoding="utf-8"?>
<sst xmlns="http://schemas.openxmlformats.org/spreadsheetml/2006/main" count="384" uniqueCount="132">
  <si>
    <t>FECHA</t>
  </si>
  <si>
    <t>CONCEPTO</t>
  </si>
  <si>
    <t>CANTIDAD</t>
  </si>
  <si>
    <t>DETALLE</t>
  </si>
  <si>
    <t>ENTRADAS</t>
  </si>
  <si>
    <t>VALOR UNITARIO</t>
  </si>
  <si>
    <t>VALOR TOTAL</t>
  </si>
  <si>
    <t>TOTAL</t>
  </si>
  <si>
    <t>SALDOS</t>
  </si>
  <si>
    <t>SALIDAS</t>
  </si>
  <si>
    <t>Inventario inicial</t>
  </si>
  <si>
    <t>Articulo</t>
  </si>
  <si>
    <t>Método</t>
  </si>
  <si>
    <t>Código</t>
  </si>
  <si>
    <t>Referencias</t>
  </si>
  <si>
    <t>FIFO</t>
  </si>
  <si>
    <t>Empresa comercial Tropical S.A</t>
  </si>
  <si>
    <t>Compra</t>
  </si>
  <si>
    <t>Venta</t>
  </si>
  <si>
    <t>Devolución</t>
  </si>
  <si>
    <t>200 de 10.20</t>
  </si>
  <si>
    <t>50 de 10.20</t>
  </si>
  <si>
    <t>0 de 10.20</t>
  </si>
  <si>
    <t>0 de 10.80</t>
  </si>
  <si>
    <t>0 de 12.10</t>
  </si>
  <si>
    <t>240 de 12.40</t>
  </si>
  <si>
    <t>140 de 12.40</t>
  </si>
  <si>
    <t>1.-</t>
  </si>
  <si>
    <t>Confeccionar las fichas de almacén del producto "Z" que comercializa la empresa tropical, S.A., según los métodos de valoración P.M.P y F.I.F.O, sabiendo que durante el mes de marzo de 2013 se produjeron los siguientes movimientos:</t>
  </si>
  <si>
    <t>Realizar la ficha de almacén de la empresa DIAL, sabiendo que el movimiento de las existencias de latas de guisantes de referencia 390 L, suministradas por La Huerta, Sociedad Corporativa, durante el primer trimestre de 2013, son los que aparecen a continuación:</t>
  </si>
  <si>
    <t>Latas de guisantes</t>
  </si>
  <si>
    <t>Productos Z</t>
  </si>
  <si>
    <t>024 -Z</t>
  </si>
  <si>
    <t>Lats-Guis</t>
  </si>
  <si>
    <t>No. Factura</t>
  </si>
  <si>
    <t>0 de 0.30</t>
  </si>
  <si>
    <t>0 de 0.35</t>
  </si>
  <si>
    <t>0 de 0.38</t>
  </si>
  <si>
    <t>150 de 0.40</t>
  </si>
  <si>
    <t>30 de 0.40</t>
  </si>
  <si>
    <t>2.-</t>
  </si>
  <si>
    <t>3.-</t>
  </si>
  <si>
    <t>En un almacén hay tres artículos, A, B y C. Las existencias iniciales al 1 de enero eran las siguientes:</t>
  </si>
  <si>
    <t>A</t>
  </si>
  <si>
    <t>Artículo A</t>
  </si>
  <si>
    <t>AAAA</t>
  </si>
  <si>
    <t>PMP</t>
  </si>
  <si>
    <t>ALMACÉN PLUS SELL</t>
  </si>
  <si>
    <t>Artículo</t>
  </si>
  <si>
    <t>B</t>
  </si>
  <si>
    <t>C</t>
  </si>
  <si>
    <t>Portes</t>
  </si>
  <si>
    <t>Seguros</t>
  </si>
  <si>
    <t>Embalajes</t>
  </si>
  <si>
    <t>Fecha</t>
  </si>
  <si>
    <t>Concepto</t>
  </si>
  <si>
    <t>1850 de 4.08</t>
  </si>
  <si>
    <t>1350 de 4.08</t>
  </si>
  <si>
    <t>1230 de 4.08</t>
  </si>
  <si>
    <t>730 de 4.08</t>
  </si>
  <si>
    <t>Artículo B</t>
  </si>
  <si>
    <t>BBBB</t>
  </si>
  <si>
    <t>Artículo C</t>
  </si>
  <si>
    <t>CCCC</t>
  </si>
  <si>
    <t>2000 DE 5.20</t>
  </si>
  <si>
    <t>1850 DE 5.20</t>
  </si>
  <si>
    <t>1200 DE 5.20</t>
  </si>
  <si>
    <t>Costo Neto</t>
  </si>
  <si>
    <t>4.-</t>
  </si>
  <si>
    <t>La empresa INGES, S.A. se dedica a la producción de A, para ello utiliza materia prima "Y" y otros consumibles, los cuales se introducen en el taller 1 y se obtiene el producto terminado. Durante el presente año los gastos en los que ha incurrido son los siguientes:</t>
  </si>
  <si>
    <t>Gastos</t>
  </si>
  <si>
    <t>Amortizaciones</t>
  </si>
  <si>
    <t>Reparaciones</t>
  </si>
  <si>
    <t>Compras de consumibles</t>
  </si>
  <si>
    <t>Suministros</t>
  </si>
  <si>
    <t>Unidades</t>
  </si>
  <si>
    <t>Costo</t>
  </si>
  <si>
    <t>Costo unitario</t>
  </si>
  <si>
    <t>Total</t>
  </si>
  <si>
    <t>5.-</t>
  </si>
  <si>
    <t xml:space="preserve">La empresa INDUSTRIAS PALADINO se dedica a fabricar lámparas, utilizando en su proceso productivo las siguientes materias primas: materia prima X (200 unidades a 32.50), materia prima C (600 unidades a 25.60), materia prima B (1400 unidades a 63.50), materia prima G (900 unidades a 73.30) y materia prima F (2990 unidades a 10.60). Produce y vende al año 10,000 unidades. La mano de obra directa aplicada al producto supone unos gastos de 43.254,90. Los costos fijos de la empresa ascienden a 75.623,70. </t>
  </si>
  <si>
    <t>Calcula: El precio de venta si la empresa desea que el umbral de rentabilidad se obtenga a partir del 75% de su producción y determina el umbral de rentabilidad si la empresa establece el precio de venta de 40.90</t>
  </si>
  <si>
    <t>X</t>
  </si>
  <si>
    <t>Materia prima</t>
  </si>
  <si>
    <t>G</t>
  </si>
  <si>
    <t>F</t>
  </si>
  <si>
    <t>Tipo</t>
  </si>
  <si>
    <t>Mano de obra directa</t>
  </si>
  <si>
    <t>Gastos fijos</t>
  </si>
  <si>
    <t>Gasto</t>
  </si>
  <si>
    <t>MOD</t>
  </si>
  <si>
    <t>MAT</t>
  </si>
  <si>
    <t>Costo de venta total</t>
  </si>
  <si>
    <t>Costo de venta unitario</t>
  </si>
  <si>
    <t>Costo Venta T.</t>
  </si>
  <si>
    <t>Costo unidad</t>
  </si>
  <si>
    <t>Punto de equilibrio al 75% de producción</t>
  </si>
  <si>
    <t>Producción 100%</t>
  </si>
  <si>
    <t>Producción 75%</t>
  </si>
  <si>
    <t>Precio de  venta unitario</t>
  </si>
  <si>
    <t xml:space="preserve">A) </t>
  </si>
  <si>
    <t>=</t>
  </si>
  <si>
    <t>Costo de V. unitario al 75%</t>
  </si>
  <si>
    <t>Precio unidad</t>
  </si>
  <si>
    <t>Suministro</t>
  </si>
  <si>
    <t>Aumento 1</t>
  </si>
  <si>
    <t>Aumento 2</t>
  </si>
  <si>
    <t>Amortización</t>
  </si>
  <si>
    <t>Consumibles</t>
  </si>
  <si>
    <t>inicio</t>
  </si>
  <si>
    <t>Final</t>
  </si>
  <si>
    <t>Almacen</t>
  </si>
  <si>
    <t>MATERIA PRIMA</t>
  </si>
  <si>
    <t>GASTOS FIJOS (75%)</t>
  </si>
  <si>
    <t>Gasto total</t>
  </si>
  <si>
    <t>Gasto total al 75%</t>
  </si>
  <si>
    <t>Gastos inicio periodo</t>
  </si>
  <si>
    <t>Gastos final del periodo</t>
  </si>
  <si>
    <t>Gastos periodo completo (Año)</t>
  </si>
  <si>
    <t>Costo total de producción</t>
  </si>
  <si>
    <t>A)</t>
  </si>
  <si>
    <t>B)</t>
  </si>
  <si>
    <t>Producción</t>
  </si>
  <si>
    <t xml:space="preserve">Al inicio del periodo de las existencias de "Y" ascendían a 1000 unidades a $0.32 y los consumibles a $6.20. Al final del mismo las existencias de "Y" ascendían a 500 unidades y consumibles a $4.90. De los gastos del año se considera que se imputan al proceso productivo un 75%. Calcula el costo de producción total y el coste de cada producto si se sabe que se han producido 1000 unidades. </t>
  </si>
  <si>
    <t>COSTO DE PRODUCCIÓN TOTAL A</t>
  </si>
  <si>
    <t>Pesos</t>
  </si>
  <si>
    <t>Margen</t>
  </si>
  <si>
    <t>Margen cont. Unitario</t>
  </si>
  <si>
    <t xml:space="preserve">B) </t>
  </si>
  <si>
    <t>Compra materia prima</t>
  </si>
  <si>
    <t>Mano obra</t>
  </si>
  <si>
    <t xml:space="preserve">Mano de obra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</si>
</sst>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0"/>
      <name val="Arial"/>
      <family val="2"/>
    </font>
    <font>
      <sz val="11"/>
      <color theme="0"/>
      <name val="Arial"/>
      <family val="2"/>
    </font>
    <font>
      <sz val="11"/>
      <color theme="0"/>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8"/>
        <bgColor indexed="64"/>
      </patternFill>
    </fill>
    <fill>
      <patternFill patternType="solid">
        <fgColor theme="8" tint="-0.249977111117893"/>
        <bgColor indexed="64"/>
      </patternFill>
    </fill>
    <fill>
      <patternFill patternType="solid">
        <fgColor rgb="FF0070C0"/>
        <bgColor indexed="64"/>
      </patternFill>
    </fill>
    <fill>
      <patternFill patternType="solid">
        <fgColor theme="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1">
    <xf numFmtId="0" fontId="0" fillId="0" borderId="0" xfId="0"/>
    <xf numFmtId="44" fontId="0" fillId="0" borderId="0" xfId="2" applyFont="1"/>
    <xf numFmtId="0" fontId="0" fillId="2" borderId="1" xfId="0" applyFill="1" applyBorder="1" applyAlignment="1">
      <alignment horizontal="center" vertical="center"/>
    </xf>
    <xf numFmtId="16" fontId="0" fillId="0" borderId="1" xfId="0" applyNumberFormat="1" applyBorder="1"/>
    <xf numFmtId="43" fontId="0" fillId="0" borderId="1" xfId="1" applyFont="1" applyBorder="1"/>
    <xf numFmtId="44" fontId="0" fillId="0" borderId="1" xfId="2" applyFont="1" applyBorder="1"/>
    <xf numFmtId="0" fontId="0" fillId="0" borderId="1" xfId="0" applyBorder="1"/>
    <xf numFmtId="43" fontId="0" fillId="0" borderId="1" xfId="0" applyNumberFormat="1" applyBorder="1"/>
    <xf numFmtId="0" fontId="0" fillId="2" borderId="1"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xf>
    <xf numFmtId="0" fontId="0" fillId="0" borderId="0" xfId="0" applyAlignment="1">
      <alignment horizontal="center" vertical="center"/>
    </xf>
    <xf numFmtId="44" fontId="0" fillId="0" borderId="1" xfId="2" applyNumberFormat="1" applyFont="1" applyBorder="1"/>
    <xf numFmtId="16" fontId="0" fillId="0" borderId="1" xfId="0" applyNumberFormat="1" applyBorder="1" applyAlignment="1">
      <alignment horizontal="center" vertical="center"/>
    </xf>
    <xf numFmtId="44" fontId="0" fillId="0" borderId="1" xfId="2" applyFont="1" applyBorder="1" applyAlignment="1">
      <alignment horizontal="center" vertical="center"/>
    </xf>
    <xf numFmtId="0" fontId="2" fillId="4" borderId="1" xfId="0" applyFont="1" applyFill="1" applyBorder="1" applyAlignment="1">
      <alignment horizontal="center" vertical="center"/>
    </xf>
    <xf numFmtId="44" fontId="3" fillId="0" borderId="1" xfId="0" applyNumberFormat="1" applyFont="1" applyBorder="1" applyAlignment="1">
      <alignment horizontal="center" vertical="center"/>
    </xf>
    <xf numFmtId="44" fontId="0" fillId="0" borderId="1" xfId="2" applyNumberFormat="1" applyFont="1" applyBorder="1" applyAlignment="1">
      <alignment horizontal="center" vertical="center"/>
    </xf>
    <xf numFmtId="0" fontId="0" fillId="0" borderId="1" xfId="0" applyBorder="1" applyAlignment="1">
      <alignment horizontal="left" vertical="top"/>
    </xf>
    <xf numFmtId="0" fontId="0" fillId="3" borderId="0" xfId="0" applyFill="1"/>
    <xf numFmtId="44" fontId="0" fillId="0" borderId="0" xfId="0" applyNumberFormat="1"/>
    <xf numFmtId="43" fontId="3" fillId="0" borderId="1" xfId="1" applyNumberFormat="1" applyFont="1" applyBorder="1" applyAlignment="1">
      <alignment horizontal="center"/>
    </xf>
    <xf numFmtId="43" fontId="0" fillId="0" borderId="1" xfId="1" applyNumberFormat="1" applyFont="1" applyBorder="1"/>
    <xf numFmtId="44" fontId="3" fillId="0" borderId="1" xfId="0" applyNumberFormat="1" applyFont="1" applyBorder="1"/>
    <xf numFmtId="0" fontId="2" fillId="4" borderId="0" xfId="0" applyFont="1" applyFill="1" applyAlignment="1">
      <alignment horizontal="center" vertical="center"/>
    </xf>
    <xf numFmtId="43" fontId="0" fillId="0" borderId="0" xfId="0" applyNumberFormat="1"/>
    <xf numFmtId="44" fontId="0" fillId="0" borderId="1" xfId="0" applyNumberFormat="1" applyBorder="1"/>
    <xf numFmtId="44" fontId="3" fillId="0" borderId="1" xfId="2" applyFont="1" applyBorder="1"/>
    <xf numFmtId="9" fontId="0" fillId="0" borderId="0" xfId="3" applyFont="1"/>
    <xf numFmtId="0" fontId="0" fillId="0" borderId="1" xfId="0" applyBorder="1" applyAlignment="1">
      <alignment horizontal="left" vertical="top"/>
    </xf>
    <xf numFmtId="44" fontId="1" fillId="0" borderId="1" xfId="2" applyFont="1" applyBorder="1" applyAlignment="1">
      <alignment horizontal="center"/>
    </xf>
    <xf numFmtId="44" fontId="0" fillId="0" borderId="1" xfId="0" applyNumberFormat="1" applyFont="1" applyBorder="1" applyAlignment="1">
      <alignment horizontal="center" vertical="center"/>
    </xf>
    <xf numFmtId="0" fontId="2" fillId="0" borderId="0" xfId="0" applyFont="1"/>
    <xf numFmtId="10" fontId="3" fillId="0" borderId="1" xfId="3" applyNumberFormat="1" applyFont="1" applyBorder="1"/>
    <xf numFmtId="0" fontId="0" fillId="0" borderId="1" xfId="0" applyBorder="1" applyAlignment="1">
      <alignment horizontal="left" vertical="top"/>
    </xf>
    <xf numFmtId="0" fontId="2" fillId="4" borderId="0" xfId="0" applyFont="1" applyFill="1" applyAlignment="1">
      <alignment horizontal="center" vertical="center"/>
    </xf>
    <xf numFmtId="0" fontId="0" fillId="0" borderId="0" xfId="0" applyBorder="1"/>
    <xf numFmtId="16" fontId="0" fillId="0" borderId="0" xfId="0" applyNumberFormat="1" applyBorder="1" applyAlignment="1">
      <alignment horizontal="center" vertical="center"/>
    </xf>
    <xf numFmtId="44" fontId="0" fillId="0" borderId="0" xfId="2" applyFont="1" applyBorder="1" applyAlignment="1">
      <alignment horizontal="center" vertical="center"/>
    </xf>
    <xf numFmtId="44" fontId="3" fillId="0" borderId="0" xfId="0" applyNumberFormat="1" applyFont="1" applyBorder="1" applyAlignment="1">
      <alignment horizontal="center" vertical="center"/>
    </xf>
    <xf numFmtId="2" fontId="0" fillId="0" borderId="0" xfId="0" applyNumberFormat="1"/>
    <xf numFmtId="0" fontId="2" fillId="4" borderId="0" xfId="0" applyFont="1" applyFill="1" applyBorder="1" applyAlignment="1">
      <alignment horizontal="center" vertical="center"/>
    </xf>
    <xf numFmtId="0" fontId="2" fillId="4" borderId="0" xfId="0" applyFont="1" applyFill="1" applyAlignment="1">
      <alignment horizontal="center" vertical="center"/>
    </xf>
    <xf numFmtId="0" fontId="0" fillId="0" borderId="0" xfId="0" applyFill="1" applyBorder="1"/>
    <xf numFmtId="44" fontId="0" fillId="0" borderId="0" xfId="0" applyNumberFormat="1" applyFill="1" applyBorder="1"/>
    <xf numFmtId="44" fontId="0" fillId="0" borderId="0" xfId="0" applyNumberFormat="1" applyFont="1" applyFill="1" applyBorder="1"/>
    <xf numFmtId="44" fontId="0" fillId="0" borderId="0" xfId="2" applyFont="1" applyFill="1" applyBorder="1"/>
    <xf numFmtId="0" fontId="0" fillId="0" borderId="0" xfId="0" applyFill="1" applyBorder="1" applyAlignment="1">
      <alignment vertical="center"/>
    </xf>
    <xf numFmtId="0" fontId="0" fillId="0" borderId="0" xfId="0" applyFill="1" applyBorder="1" applyAlignment="1"/>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1" xfId="0" applyBorder="1" applyAlignment="1">
      <alignment horizontal="left" vertical="center"/>
    </xf>
    <xf numFmtId="0" fontId="0" fillId="0" borderId="4" xfId="0" applyBorder="1" applyAlignment="1">
      <alignment horizontal="left" vertical="top"/>
    </xf>
    <xf numFmtId="0" fontId="0" fillId="0" borderId="5" xfId="0" applyBorder="1" applyAlignment="1">
      <alignment horizontal="left" vertical="top"/>
    </xf>
    <xf numFmtId="0" fontId="0" fillId="0" borderId="1" xfId="0" applyBorder="1" applyAlignment="1">
      <alignment horizontal="left" vertical="center" wrapText="1"/>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2" fillId="3" borderId="1" xfId="0" applyFont="1" applyFill="1" applyBorder="1" applyAlignment="1">
      <alignment horizontal="center" vertical="center"/>
    </xf>
    <xf numFmtId="0" fontId="5" fillId="3" borderId="0" xfId="0" applyFont="1" applyFill="1" applyAlignment="1">
      <alignment horizontal="center" vertical="center" wrapText="1"/>
    </xf>
    <xf numFmtId="0" fontId="4" fillId="3" borderId="0" xfId="0" applyFont="1" applyFill="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top"/>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6" xfId="0"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2" fillId="4" borderId="1" xfId="0" applyFont="1" applyFill="1" applyBorder="1" applyAlignment="1">
      <alignment horizontal="center"/>
    </xf>
    <xf numFmtId="0" fontId="2" fillId="4" borderId="0" xfId="0" applyFont="1" applyFill="1" applyBorder="1" applyAlignment="1">
      <alignment horizontal="center" vertical="center"/>
    </xf>
    <xf numFmtId="0" fontId="2" fillId="3" borderId="0" xfId="0" applyFont="1" applyFill="1" applyAlignment="1">
      <alignment horizontal="center" vertical="center" wrapText="1"/>
    </xf>
    <xf numFmtId="0" fontId="2" fillId="4" borderId="4" xfId="0" applyFont="1" applyFill="1" applyBorder="1" applyAlignment="1">
      <alignment horizontal="center"/>
    </xf>
    <xf numFmtId="0" fontId="2" fillId="4" borderId="6" xfId="0" applyFont="1" applyFill="1" applyBorder="1" applyAlignment="1">
      <alignment horizontal="center"/>
    </xf>
    <xf numFmtId="0" fontId="2" fillId="4" borderId="5" xfId="0" applyFont="1" applyFill="1" applyBorder="1" applyAlignment="1">
      <alignment horizont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2" fillId="4" borderId="14" xfId="0" applyFont="1" applyFill="1" applyBorder="1" applyAlignment="1">
      <alignment horizontal="center" vertical="center"/>
    </xf>
    <xf numFmtId="0" fontId="2" fillId="4" borderId="12" xfId="0" applyFont="1" applyFill="1" applyBorder="1" applyAlignment="1">
      <alignment horizontal="center"/>
    </xf>
    <xf numFmtId="0" fontId="2" fillId="4" borderId="14" xfId="0" applyFont="1" applyFill="1" applyBorder="1" applyAlignment="1">
      <alignment horizont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2" fillId="4" borderId="0" xfId="0" applyFont="1" applyFill="1" applyAlignment="1">
      <alignment horizontal="center" vertical="center"/>
    </xf>
    <xf numFmtId="43" fontId="2" fillId="5" borderId="10" xfId="1" applyFont="1" applyFill="1" applyBorder="1" applyAlignment="1">
      <alignment horizontal="center" vertical="center"/>
    </xf>
    <xf numFmtId="43" fontId="2" fillId="5" borderId="11" xfId="1"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0" xfId="0" applyFont="1" applyFill="1" applyAlignment="1">
      <alignment horizontal="center" vertical="center" wrapText="1"/>
    </xf>
    <xf numFmtId="44" fontId="0" fillId="0" borderId="10" xfId="0" applyNumberFormat="1" applyBorder="1" applyAlignment="1">
      <alignment horizontal="center" vertical="center"/>
    </xf>
    <xf numFmtId="44" fontId="0" fillId="0" borderId="11" xfId="0" applyNumberFormat="1" applyBorder="1" applyAlignment="1">
      <alignment horizontal="center" vertical="center"/>
    </xf>
    <xf numFmtId="44" fontId="2" fillId="5" borderId="10" xfId="0" applyNumberFormat="1" applyFont="1" applyFill="1" applyBorder="1" applyAlignment="1">
      <alignment horizontal="center" vertical="center"/>
    </xf>
    <xf numFmtId="44" fontId="2" fillId="5" borderId="11" xfId="0" applyNumberFormat="1" applyFont="1" applyFill="1" applyBorder="1" applyAlignment="1">
      <alignment horizontal="center" vertical="center"/>
    </xf>
    <xf numFmtId="0" fontId="6" fillId="3" borderId="0" xfId="0" applyFont="1" applyFill="1" applyAlignment="1">
      <alignment horizontal="center" vertical="center" wrapText="1"/>
    </xf>
    <xf numFmtId="0" fontId="3" fillId="2" borderId="5" xfId="0" applyFont="1" applyFill="1" applyBorder="1" applyAlignment="1">
      <alignment horizontal="center" vertical="center"/>
    </xf>
    <xf numFmtId="0" fontId="2" fillId="6" borderId="0" xfId="0" applyFont="1" applyFill="1" applyAlignment="1">
      <alignment horizontal="center" vertical="center"/>
    </xf>
    <xf numFmtId="0" fontId="2" fillId="0" borderId="0" xfId="0" applyFont="1" applyAlignment="1">
      <alignment horizontal="center" vertical="center"/>
    </xf>
    <xf numFmtId="0" fontId="2" fillId="3" borderId="0" xfId="0" applyFont="1" applyFill="1" applyAlignment="1">
      <alignment horizontal="center" vertical="center"/>
    </xf>
    <xf numFmtId="44" fontId="2" fillId="6" borderId="0" xfId="0" applyNumberFormat="1" applyFont="1" applyFill="1" applyAlignment="1">
      <alignment horizontal="center" vertical="center"/>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8"/>
  <sheetViews>
    <sheetView topLeftCell="A5" zoomScale="76" zoomScaleNormal="76" workbookViewId="0">
      <selection activeCell="H47" sqref="H47"/>
    </sheetView>
  </sheetViews>
  <sheetFormatPr baseColWidth="10" defaultRowHeight="14.4" x14ac:dyDescent="0.3"/>
  <cols>
    <col min="4" max="4" width="12.33203125" bestFit="1" customWidth="1"/>
    <col min="6" max="6" width="15.33203125" bestFit="1" customWidth="1"/>
    <col min="7" max="7" width="13.21875" bestFit="1" customWidth="1"/>
    <col min="9" max="9" width="15.33203125" bestFit="1" customWidth="1"/>
    <col min="10" max="10" width="13.21875" bestFit="1" customWidth="1"/>
    <col min="12" max="12" width="15.33203125" bestFit="1" customWidth="1"/>
    <col min="13" max="13" width="13.21875" bestFit="1" customWidth="1"/>
  </cols>
  <sheetData>
    <row r="2" spans="1:13" x14ac:dyDescent="0.3">
      <c r="A2" s="65" t="s">
        <v>27</v>
      </c>
      <c r="B2" s="64" t="s">
        <v>28</v>
      </c>
      <c r="C2" s="64"/>
      <c r="D2" s="64"/>
      <c r="E2" s="64"/>
      <c r="F2" s="64"/>
      <c r="G2" s="64"/>
      <c r="H2" s="64"/>
      <c r="I2" s="64"/>
      <c r="J2" s="64"/>
      <c r="K2" s="64"/>
      <c r="L2" s="64"/>
      <c r="M2" s="64"/>
    </row>
    <row r="3" spans="1:13" x14ac:dyDescent="0.3">
      <c r="A3" s="65"/>
      <c r="B3" s="64"/>
      <c r="C3" s="64"/>
      <c r="D3" s="64"/>
      <c r="E3" s="64"/>
      <c r="F3" s="64"/>
      <c r="G3" s="64"/>
      <c r="H3" s="64"/>
      <c r="I3" s="64"/>
      <c r="J3" s="64"/>
      <c r="K3" s="64"/>
      <c r="L3" s="64"/>
      <c r="M3" s="64"/>
    </row>
    <row r="5" spans="1:13" x14ac:dyDescent="0.3">
      <c r="B5" s="63" t="s">
        <v>16</v>
      </c>
      <c r="C5" s="63"/>
      <c r="D5" s="63"/>
      <c r="E5" s="63"/>
      <c r="F5" s="63"/>
      <c r="G5" s="63"/>
      <c r="H5" s="63"/>
      <c r="I5" s="63"/>
      <c r="J5" s="63"/>
      <c r="K5" s="63"/>
      <c r="L5" s="63"/>
      <c r="M5" s="63"/>
    </row>
    <row r="6" spans="1:13" x14ac:dyDescent="0.3">
      <c r="B6" s="59" t="s">
        <v>11</v>
      </c>
      <c r="C6" s="60"/>
      <c r="D6" s="60"/>
      <c r="E6" s="60"/>
      <c r="F6" s="60" t="s">
        <v>14</v>
      </c>
      <c r="G6" s="60"/>
      <c r="H6" s="60"/>
      <c r="I6" s="60" t="s">
        <v>13</v>
      </c>
      <c r="J6" s="60"/>
      <c r="K6" s="60" t="s">
        <v>12</v>
      </c>
      <c r="L6" s="60"/>
      <c r="M6" s="61"/>
    </row>
    <row r="7" spans="1:13" x14ac:dyDescent="0.3">
      <c r="B7" s="59" t="s">
        <v>31</v>
      </c>
      <c r="C7" s="60"/>
      <c r="D7" s="60"/>
      <c r="E7" s="60"/>
      <c r="F7" s="60" t="s">
        <v>32</v>
      </c>
      <c r="G7" s="60"/>
      <c r="H7" s="60"/>
      <c r="I7" s="60">
        <v>1450</v>
      </c>
      <c r="J7" s="60"/>
      <c r="K7" s="60" t="s">
        <v>46</v>
      </c>
      <c r="L7" s="60"/>
      <c r="M7" s="61"/>
    </row>
    <row r="8" spans="1:13" x14ac:dyDescent="0.3">
      <c r="B8" s="62" t="s">
        <v>0</v>
      </c>
      <c r="C8" s="62" t="s">
        <v>3</v>
      </c>
      <c r="D8" s="62"/>
      <c r="E8" s="62" t="s">
        <v>4</v>
      </c>
      <c r="F8" s="62"/>
      <c r="G8" s="62"/>
      <c r="H8" s="62" t="s">
        <v>9</v>
      </c>
      <c r="I8" s="62"/>
      <c r="J8" s="62"/>
      <c r="K8" s="62" t="s">
        <v>8</v>
      </c>
      <c r="L8" s="62"/>
      <c r="M8" s="62"/>
    </row>
    <row r="9" spans="1:13" x14ac:dyDescent="0.3">
      <c r="B9" s="62"/>
      <c r="C9" s="62" t="s">
        <v>1</v>
      </c>
      <c r="D9" s="62"/>
      <c r="E9" s="2" t="s">
        <v>2</v>
      </c>
      <c r="F9" s="2" t="s">
        <v>5</v>
      </c>
      <c r="G9" s="2" t="s">
        <v>6</v>
      </c>
      <c r="H9" s="2" t="s">
        <v>2</v>
      </c>
      <c r="I9" s="2" t="s">
        <v>5</v>
      </c>
      <c r="J9" s="2" t="s">
        <v>6</v>
      </c>
      <c r="K9" s="2" t="s">
        <v>2</v>
      </c>
      <c r="L9" s="2" t="s">
        <v>5</v>
      </c>
      <c r="M9" s="2" t="s">
        <v>7</v>
      </c>
    </row>
    <row r="10" spans="1:13" x14ac:dyDescent="0.3">
      <c r="B10" s="3">
        <v>45352</v>
      </c>
      <c r="C10" s="58" t="s">
        <v>10</v>
      </c>
      <c r="D10" s="58"/>
      <c r="E10" s="4">
        <v>300</v>
      </c>
      <c r="F10" s="5">
        <v>10.199999999999999</v>
      </c>
      <c r="G10" s="5">
        <f>E10*F10</f>
        <v>3060</v>
      </c>
      <c r="H10" s="6"/>
      <c r="I10" s="5"/>
      <c r="J10" s="5">
        <f>H10*I10</f>
        <v>0</v>
      </c>
      <c r="K10" s="7">
        <f>E10</f>
        <v>300</v>
      </c>
      <c r="L10" s="7">
        <f>F10</f>
        <v>10.199999999999999</v>
      </c>
      <c r="M10" s="5">
        <f>G10</f>
        <v>3060</v>
      </c>
    </row>
    <row r="11" spans="1:13" x14ac:dyDescent="0.3">
      <c r="B11" s="3">
        <v>45353</v>
      </c>
      <c r="C11" s="55" t="s">
        <v>17</v>
      </c>
      <c r="D11" s="55"/>
      <c r="E11" s="4">
        <v>50</v>
      </c>
      <c r="F11" s="5">
        <v>10.8</v>
      </c>
      <c r="G11" s="5">
        <f t="shared" ref="G11:G20" si="0">E11*F11</f>
        <v>540</v>
      </c>
      <c r="H11" s="6"/>
      <c r="I11" s="5"/>
      <c r="J11" s="5">
        <f t="shared" ref="J11:J20" si="1">H11*I11</f>
        <v>0</v>
      </c>
      <c r="K11" s="7">
        <f>K10+E11</f>
        <v>350</v>
      </c>
      <c r="L11" s="5">
        <f>M11/K11</f>
        <v>10.285714285714286</v>
      </c>
      <c r="M11" s="5">
        <f>M10+G11</f>
        <v>3600</v>
      </c>
    </row>
    <row r="12" spans="1:13" x14ac:dyDescent="0.3">
      <c r="B12" s="3">
        <v>45357</v>
      </c>
      <c r="C12" s="55" t="s">
        <v>18</v>
      </c>
      <c r="D12" s="55"/>
      <c r="E12" s="4"/>
      <c r="F12" s="5"/>
      <c r="G12" s="5">
        <f t="shared" si="0"/>
        <v>0</v>
      </c>
      <c r="H12" s="6">
        <v>100</v>
      </c>
      <c r="I12" s="5">
        <f>L11</f>
        <v>10.285714285714286</v>
      </c>
      <c r="J12" s="5">
        <f t="shared" si="1"/>
        <v>1028.5714285714287</v>
      </c>
      <c r="K12" s="7">
        <f>K11-H12</f>
        <v>250</v>
      </c>
      <c r="L12" s="5">
        <f>M12/K12</f>
        <v>10.285714285714286</v>
      </c>
      <c r="M12" s="5">
        <f>M11-J12</f>
        <v>2571.4285714285716</v>
      </c>
    </row>
    <row r="13" spans="1:13" x14ac:dyDescent="0.3">
      <c r="B13" s="3">
        <v>45359</v>
      </c>
      <c r="C13" s="55" t="s">
        <v>18</v>
      </c>
      <c r="D13" s="55"/>
      <c r="E13" s="4"/>
      <c r="F13" s="5"/>
      <c r="G13" s="5">
        <f t="shared" si="0"/>
        <v>0</v>
      </c>
      <c r="H13" s="6">
        <v>150</v>
      </c>
      <c r="I13" s="5">
        <f>L12</f>
        <v>10.285714285714286</v>
      </c>
      <c r="J13" s="5">
        <f t="shared" si="1"/>
        <v>1542.8571428571429</v>
      </c>
      <c r="K13" s="7">
        <f>K12-H13</f>
        <v>100</v>
      </c>
      <c r="L13" s="5">
        <f>M13/K13</f>
        <v>10.285714285714286</v>
      </c>
      <c r="M13" s="5">
        <f>M12-J13</f>
        <v>1028.5714285714287</v>
      </c>
    </row>
    <row r="14" spans="1:13" x14ac:dyDescent="0.3">
      <c r="B14" s="3">
        <v>45365</v>
      </c>
      <c r="C14" s="55" t="s">
        <v>18</v>
      </c>
      <c r="D14" s="55"/>
      <c r="E14" s="4"/>
      <c r="F14" s="5"/>
      <c r="G14" s="5">
        <f t="shared" si="0"/>
        <v>0</v>
      </c>
      <c r="H14" s="6">
        <v>50</v>
      </c>
      <c r="I14" s="5">
        <f>L13</f>
        <v>10.285714285714286</v>
      </c>
      <c r="J14" s="5">
        <f t="shared" si="1"/>
        <v>514.28571428571433</v>
      </c>
      <c r="K14" s="7">
        <f>K13-H14</f>
        <v>50</v>
      </c>
      <c r="L14" s="5">
        <f>M14/K14</f>
        <v>10.285714285714286</v>
      </c>
      <c r="M14" s="5">
        <f>M13-J14</f>
        <v>514.28571428571433</v>
      </c>
    </row>
    <row r="15" spans="1:13" x14ac:dyDescent="0.3">
      <c r="B15" s="3">
        <v>45365</v>
      </c>
      <c r="C15" s="56" t="s">
        <v>18</v>
      </c>
      <c r="D15" s="57"/>
      <c r="E15" s="4"/>
      <c r="F15" s="5"/>
      <c r="G15" s="5"/>
      <c r="H15" s="6">
        <v>50</v>
      </c>
      <c r="I15" s="5">
        <f>L14</f>
        <v>10.285714285714286</v>
      </c>
      <c r="J15" s="5">
        <f t="shared" si="1"/>
        <v>514.28571428571433</v>
      </c>
      <c r="K15" s="7">
        <f>K14-H15</f>
        <v>0</v>
      </c>
      <c r="L15" s="5">
        <v>0</v>
      </c>
      <c r="M15" s="5">
        <f>M14-J15</f>
        <v>0</v>
      </c>
    </row>
    <row r="16" spans="1:13" x14ac:dyDescent="0.3">
      <c r="B16" s="3">
        <v>45371</v>
      </c>
      <c r="C16" s="55" t="s">
        <v>19</v>
      </c>
      <c r="D16" s="55"/>
      <c r="E16" s="4">
        <v>10</v>
      </c>
      <c r="F16" s="5">
        <v>12.1</v>
      </c>
      <c r="G16" s="5">
        <f t="shared" si="0"/>
        <v>121</v>
      </c>
      <c r="H16" s="6"/>
      <c r="I16" s="5"/>
      <c r="J16" s="5">
        <f t="shared" si="1"/>
        <v>0</v>
      </c>
      <c r="K16" s="7">
        <f>K15+E16</f>
        <v>10</v>
      </c>
      <c r="L16" s="5">
        <f>M16/K16</f>
        <v>12.1</v>
      </c>
      <c r="M16" s="5">
        <f>M15+G16</f>
        <v>121</v>
      </c>
    </row>
    <row r="17" spans="1:13" x14ac:dyDescent="0.3">
      <c r="B17" s="3">
        <v>45376</v>
      </c>
      <c r="C17" s="55" t="s">
        <v>17</v>
      </c>
      <c r="D17" s="55"/>
      <c r="E17" s="4">
        <v>300</v>
      </c>
      <c r="F17" s="5">
        <v>12.4</v>
      </c>
      <c r="G17" s="5">
        <f t="shared" si="0"/>
        <v>3720</v>
      </c>
      <c r="H17" s="6"/>
      <c r="I17" s="5"/>
      <c r="J17" s="5">
        <f t="shared" si="1"/>
        <v>0</v>
      </c>
      <c r="K17" s="7">
        <f>K16+E17</f>
        <v>310</v>
      </c>
      <c r="L17" s="5">
        <f>M17/K17</f>
        <v>12.390322580645162</v>
      </c>
      <c r="M17" s="5">
        <f>M16+G17</f>
        <v>3841</v>
      </c>
    </row>
    <row r="18" spans="1:13" x14ac:dyDescent="0.3">
      <c r="B18" s="3">
        <v>45378</v>
      </c>
      <c r="C18" s="56" t="s">
        <v>18</v>
      </c>
      <c r="D18" s="57"/>
      <c r="E18" s="4"/>
      <c r="F18" s="5"/>
      <c r="G18" s="5">
        <f t="shared" si="0"/>
        <v>0</v>
      </c>
      <c r="H18" s="6">
        <v>10</v>
      </c>
      <c r="I18" s="5">
        <f>L17</f>
        <v>12.390322580645162</v>
      </c>
      <c r="J18" s="5">
        <f t="shared" si="1"/>
        <v>123.90322580645162</v>
      </c>
      <c r="K18" s="7">
        <f>K17-H18</f>
        <v>300</v>
      </c>
      <c r="L18" s="5">
        <f>M18/K18</f>
        <v>12.390322580645162</v>
      </c>
      <c r="M18" s="5">
        <f>M17-J18</f>
        <v>3717.0967741935483</v>
      </c>
    </row>
    <row r="19" spans="1:13" x14ac:dyDescent="0.3">
      <c r="B19" s="3">
        <v>45378</v>
      </c>
      <c r="C19" s="55" t="s">
        <v>18</v>
      </c>
      <c r="D19" s="55"/>
      <c r="E19" s="4"/>
      <c r="F19" s="5"/>
      <c r="G19" s="5">
        <f t="shared" si="0"/>
        <v>0</v>
      </c>
      <c r="H19" s="6">
        <v>60</v>
      </c>
      <c r="I19" s="5">
        <f>L18</f>
        <v>12.390322580645162</v>
      </c>
      <c r="J19" s="5">
        <f t="shared" si="1"/>
        <v>743.41935483870975</v>
      </c>
      <c r="K19" s="7">
        <f>K18-H19</f>
        <v>240</v>
      </c>
      <c r="L19" s="5">
        <f>M19/K19</f>
        <v>12.39032258064516</v>
      </c>
      <c r="M19" s="5">
        <f>M18-J19</f>
        <v>2973.6774193548385</v>
      </c>
    </row>
    <row r="20" spans="1:13" x14ac:dyDescent="0.3">
      <c r="B20" s="3">
        <v>45380</v>
      </c>
      <c r="C20" s="55" t="s">
        <v>18</v>
      </c>
      <c r="D20" s="55"/>
      <c r="E20" s="4"/>
      <c r="F20" s="5"/>
      <c r="G20" s="5">
        <f t="shared" si="0"/>
        <v>0</v>
      </c>
      <c r="H20" s="6">
        <v>100</v>
      </c>
      <c r="I20" s="5">
        <f>L19</f>
        <v>12.39032258064516</v>
      </c>
      <c r="J20" s="5">
        <f t="shared" si="1"/>
        <v>1239.0322580645159</v>
      </c>
      <c r="K20" s="7">
        <f>K19-H20</f>
        <v>140</v>
      </c>
      <c r="L20" s="5">
        <f>M20/K20</f>
        <v>12.390322580645162</v>
      </c>
      <c r="M20" s="5">
        <f>M19-J20</f>
        <v>1734.6451612903227</v>
      </c>
    </row>
    <row r="21" spans="1:13" x14ac:dyDescent="0.3">
      <c r="I21" s="1"/>
      <c r="J21" s="1"/>
      <c r="L21" s="1"/>
      <c r="M21" s="1"/>
    </row>
    <row r="22" spans="1:13" x14ac:dyDescent="0.3">
      <c r="I22" s="1"/>
      <c r="J22" s="1"/>
      <c r="L22" s="1"/>
      <c r="M22" s="1"/>
    </row>
    <row r="23" spans="1:13" x14ac:dyDescent="0.3">
      <c r="B23" s="63" t="s">
        <v>16</v>
      </c>
      <c r="C23" s="63"/>
      <c r="D23" s="63"/>
      <c r="E23" s="63"/>
      <c r="F23" s="63"/>
      <c r="G23" s="63"/>
      <c r="H23" s="63"/>
      <c r="I23" s="63"/>
      <c r="J23" s="63"/>
      <c r="K23" s="63"/>
      <c r="L23" s="63"/>
      <c r="M23" s="63"/>
    </row>
    <row r="24" spans="1:13" x14ac:dyDescent="0.3">
      <c r="B24" s="59" t="s">
        <v>11</v>
      </c>
      <c r="C24" s="60"/>
      <c r="D24" s="60"/>
      <c r="E24" s="60"/>
      <c r="F24" s="60" t="s">
        <v>14</v>
      </c>
      <c r="G24" s="60"/>
      <c r="H24" s="60"/>
      <c r="I24" s="60" t="s">
        <v>13</v>
      </c>
      <c r="J24" s="60"/>
      <c r="K24" s="60" t="s">
        <v>12</v>
      </c>
      <c r="L24" s="60"/>
      <c r="M24" s="61"/>
    </row>
    <row r="25" spans="1:13" x14ac:dyDescent="0.3">
      <c r="B25" s="59" t="s">
        <v>31</v>
      </c>
      <c r="C25" s="60"/>
      <c r="D25" s="60"/>
      <c r="E25" s="60"/>
      <c r="F25" s="60" t="s">
        <v>32</v>
      </c>
      <c r="G25" s="60"/>
      <c r="H25" s="60"/>
      <c r="I25" s="60">
        <v>1450</v>
      </c>
      <c r="J25" s="60"/>
      <c r="K25" s="60" t="s">
        <v>15</v>
      </c>
      <c r="L25" s="60"/>
      <c r="M25" s="61"/>
    </row>
    <row r="26" spans="1:13" x14ac:dyDescent="0.3">
      <c r="B26" s="62" t="s">
        <v>0</v>
      </c>
      <c r="C26" s="62" t="s">
        <v>3</v>
      </c>
      <c r="D26" s="62"/>
      <c r="E26" s="62" t="s">
        <v>4</v>
      </c>
      <c r="F26" s="62"/>
      <c r="G26" s="62"/>
      <c r="H26" s="62" t="s">
        <v>9</v>
      </c>
      <c r="I26" s="62"/>
      <c r="J26" s="62"/>
      <c r="K26" s="62" t="s">
        <v>8</v>
      </c>
      <c r="L26" s="62"/>
      <c r="M26" s="62"/>
    </row>
    <row r="27" spans="1:13" x14ac:dyDescent="0.3">
      <c r="B27" s="62"/>
      <c r="C27" s="62" t="s">
        <v>1</v>
      </c>
      <c r="D27" s="62"/>
      <c r="E27" s="9" t="s">
        <v>2</v>
      </c>
      <c r="F27" s="9" t="s">
        <v>5</v>
      </c>
      <c r="G27" s="9" t="s">
        <v>6</v>
      </c>
      <c r="H27" s="9" t="s">
        <v>2</v>
      </c>
      <c r="I27" s="9" t="s">
        <v>5</v>
      </c>
      <c r="J27" s="9" t="s">
        <v>6</v>
      </c>
      <c r="K27" s="9" t="s">
        <v>2</v>
      </c>
      <c r="L27" s="9" t="s">
        <v>5</v>
      </c>
      <c r="M27" s="9" t="s">
        <v>7</v>
      </c>
    </row>
    <row r="28" spans="1:13" x14ac:dyDescent="0.3">
      <c r="B28" s="3">
        <v>45352</v>
      </c>
      <c r="C28" s="58" t="s">
        <v>10</v>
      </c>
      <c r="D28" s="58"/>
      <c r="E28" s="4">
        <v>300</v>
      </c>
      <c r="F28" s="5">
        <v>10.199999999999999</v>
      </c>
      <c r="G28" s="5">
        <f t="shared" ref="G28:G38" si="2">E28*F28</f>
        <v>3060</v>
      </c>
      <c r="H28" s="6"/>
      <c r="I28" s="5"/>
      <c r="J28" s="5">
        <f>H28*I28</f>
        <v>0</v>
      </c>
      <c r="K28" s="7">
        <f>E28</f>
        <v>300</v>
      </c>
      <c r="L28" s="7">
        <f>F28</f>
        <v>10.199999999999999</v>
      </c>
      <c r="M28" s="5">
        <f>G28</f>
        <v>3060</v>
      </c>
    </row>
    <row r="29" spans="1:13" x14ac:dyDescent="0.3">
      <c r="B29" s="3">
        <v>45353</v>
      </c>
      <c r="C29" s="55" t="s">
        <v>17</v>
      </c>
      <c r="D29" s="55"/>
      <c r="E29" s="4">
        <v>50</v>
      </c>
      <c r="F29" s="5">
        <v>10.8</v>
      </c>
      <c r="G29" s="5">
        <f t="shared" si="2"/>
        <v>540</v>
      </c>
      <c r="H29" s="6"/>
      <c r="I29" s="5"/>
      <c r="J29" s="5">
        <f t="shared" ref="J29:J38" si="3">H29*I29</f>
        <v>0</v>
      </c>
      <c r="K29" s="7">
        <f>K28+E29</f>
        <v>350</v>
      </c>
      <c r="L29" s="5">
        <f>M29/K29</f>
        <v>10.285714285714286</v>
      </c>
      <c r="M29" s="5">
        <f>M28+G29</f>
        <v>3600</v>
      </c>
    </row>
    <row r="30" spans="1:13" x14ac:dyDescent="0.3">
      <c r="A30" t="s">
        <v>20</v>
      </c>
      <c r="B30" s="3">
        <v>45357</v>
      </c>
      <c r="C30" s="55" t="s">
        <v>18</v>
      </c>
      <c r="D30" s="55"/>
      <c r="E30" s="4"/>
      <c r="F30" s="5"/>
      <c r="G30" s="5">
        <f t="shared" si="2"/>
        <v>0</v>
      </c>
      <c r="H30" s="6">
        <v>100</v>
      </c>
      <c r="I30" s="5">
        <v>10.199999999999999</v>
      </c>
      <c r="J30" s="5">
        <f t="shared" si="3"/>
        <v>1019.9999999999999</v>
      </c>
      <c r="K30" s="7">
        <f>K29-H30</f>
        <v>250</v>
      </c>
      <c r="L30" s="5">
        <f>M30/K30</f>
        <v>10.32</v>
      </c>
      <c r="M30" s="5">
        <f>M29-J30</f>
        <v>2580</v>
      </c>
    </row>
    <row r="31" spans="1:13" x14ac:dyDescent="0.3">
      <c r="A31" t="s">
        <v>21</v>
      </c>
      <c r="B31" s="3">
        <v>45359</v>
      </c>
      <c r="C31" s="55" t="s">
        <v>18</v>
      </c>
      <c r="D31" s="55"/>
      <c r="E31" s="4"/>
      <c r="F31" s="5"/>
      <c r="G31" s="5">
        <f t="shared" si="2"/>
        <v>0</v>
      </c>
      <c r="H31" s="6">
        <v>150</v>
      </c>
      <c r="I31" s="5">
        <v>10.199999999999999</v>
      </c>
      <c r="J31" s="5">
        <f t="shared" si="3"/>
        <v>1530</v>
      </c>
      <c r="K31" s="7">
        <f>K30-H31</f>
        <v>100</v>
      </c>
      <c r="L31" s="5">
        <f>M31/K31</f>
        <v>10.5</v>
      </c>
      <c r="M31" s="5">
        <f>M30-J31</f>
        <v>1050</v>
      </c>
    </row>
    <row r="32" spans="1:13" x14ac:dyDescent="0.3">
      <c r="A32" t="s">
        <v>22</v>
      </c>
      <c r="B32" s="3">
        <v>45365</v>
      </c>
      <c r="C32" s="55" t="s">
        <v>18</v>
      </c>
      <c r="D32" s="55"/>
      <c r="E32" s="4"/>
      <c r="F32" s="5"/>
      <c r="G32" s="5">
        <f t="shared" si="2"/>
        <v>0</v>
      </c>
      <c r="H32" s="6">
        <v>50</v>
      </c>
      <c r="I32" s="5">
        <v>10.199999999999999</v>
      </c>
      <c r="J32" s="5">
        <f t="shared" si="3"/>
        <v>509.99999999999994</v>
      </c>
      <c r="K32" s="7">
        <f>K31-H32</f>
        <v>50</v>
      </c>
      <c r="L32" s="5">
        <f>M32/K32</f>
        <v>10.8</v>
      </c>
      <c r="M32" s="5">
        <f>M31-J32</f>
        <v>540</v>
      </c>
    </row>
    <row r="33" spans="1:13" x14ac:dyDescent="0.3">
      <c r="A33" t="s">
        <v>23</v>
      </c>
      <c r="B33" s="3">
        <v>45365</v>
      </c>
      <c r="C33" s="56" t="s">
        <v>18</v>
      </c>
      <c r="D33" s="57"/>
      <c r="E33" s="4"/>
      <c r="F33" s="5"/>
      <c r="G33" s="5">
        <f t="shared" si="2"/>
        <v>0</v>
      </c>
      <c r="H33" s="6">
        <v>50</v>
      </c>
      <c r="I33" s="5">
        <f>F29</f>
        <v>10.8</v>
      </c>
      <c r="J33" s="5">
        <f t="shared" si="3"/>
        <v>540</v>
      </c>
      <c r="K33" s="7">
        <f>K32-H33</f>
        <v>0</v>
      </c>
      <c r="L33" s="5">
        <v>0</v>
      </c>
      <c r="M33" s="5">
        <f>M32-J33</f>
        <v>0</v>
      </c>
    </row>
    <row r="34" spans="1:13" x14ac:dyDescent="0.3">
      <c r="B34" s="3">
        <v>45371</v>
      </c>
      <c r="C34" s="55" t="s">
        <v>19</v>
      </c>
      <c r="D34" s="55"/>
      <c r="E34" s="4">
        <v>10</v>
      </c>
      <c r="F34" s="5">
        <v>12.1</v>
      </c>
      <c r="G34" s="5">
        <f t="shared" si="2"/>
        <v>121</v>
      </c>
      <c r="H34" s="6"/>
      <c r="I34" s="5"/>
      <c r="J34" s="5">
        <f t="shared" si="3"/>
        <v>0</v>
      </c>
      <c r="K34" s="7">
        <f>K33+E34</f>
        <v>10</v>
      </c>
      <c r="L34" s="5">
        <f>M34/K34</f>
        <v>12.1</v>
      </c>
      <c r="M34" s="5">
        <f>M33+G34</f>
        <v>121</v>
      </c>
    </row>
    <row r="35" spans="1:13" x14ac:dyDescent="0.3">
      <c r="B35" s="3">
        <v>45376</v>
      </c>
      <c r="C35" s="55" t="s">
        <v>17</v>
      </c>
      <c r="D35" s="55"/>
      <c r="E35" s="4">
        <v>300</v>
      </c>
      <c r="F35" s="5">
        <v>12.4</v>
      </c>
      <c r="G35" s="5">
        <f t="shared" si="2"/>
        <v>3720</v>
      </c>
      <c r="H35" s="6"/>
      <c r="I35" s="5"/>
      <c r="J35" s="5">
        <f t="shared" si="3"/>
        <v>0</v>
      </c>
      <c r="K35" s="7">
        <f>K34+E35</f>
        <v>310</v>
      </c>
      <c r="L35" s="5">
        <f>M35/K35</f>
        <v>12.390322580645162</v>
      </c>
      <c r="M35" s="5">
        <f>M34+G35</f>
        <v>3841</v>
      </c>
    </row>
    <row r="36" spans="1:13" x14ac:dyDescent="0.3">
      <c r="A36" t="s">
        <v>24</v>
      </c>
      <c r="B36" s="3">
        <v>45378</v>
      </c>
      <c r="C36" s="56" t="s">
        <v>18</v>
      </c>
      <c r="D36" s="57"/>
      <c r="E36" s="4"/>
      <c r="F36" s="5"/>
      <c r="G36" s="5">
        <f t="shared" si="2"/>
        <v>0</v>
      </c>
      <c r="H36" s="6">
        <v>10</v>
      </c>
      <c r="I36" s="5">
        <v>12.1</v>
      </c>
      <c r="J36" s="5">
        <f t="shared" si="3"/>
        <v>121</v>
      </c>
      <c r="K36" s="7">
        <f>K35-H36</f>
        <v>300</v>
      </c>
      <c r="L36" s="5">
        <f>M36/K36</f>
        <v>12.4</v>
      </c>
      <c r="M36" s="5">
        <f>M35-J36</f>
        <v>3720</v>
      </c>
    </row>
    <row r="37" spans="1:13" x14ac:dyDescent="0.3">
      <c r="A37" t="s">
        <v>25</v>
      </c>
      <c r="B37" s="3">
        <v>45378</v>
      </c>
      <c r="C37" s="55" t="s">
        <v>18</v>
      </c>
      <c r="D37" s="55"/>
      <c r="E37" s="4"/>
      <c r="F37" s="5"/>
      <c r="G37" s="5">
        <f t="shared" si="2"/>
        <v>0</v>
      </c>
      <c r="H37" s="6">
        <v>60</v>
      </c>
      <c r="I37" s="5">
        <f>F35</f>
        <v>12.4</v>
      </c>
      <c r="J37" s="5">
        <f t="shared" si="3"/>
        <v>744</v>
      </c>
      <c r="K37" s="7">
        <f>K36-H37</f>
        <v>240</v>
      </c>
      <c r="L37" s="5">
        <f>M37/K37</f>
        <v>12.4</v>
      </c>
      <c r="M37" s="5">
        <f>M36-J37</f>
        <v>2976</v>
      </c>
    </row>
    <row r="38" spans="1:13" x14ac:dyDescent="0.3">
      <c r="A38" t="s">
        <v>26</v>
      </c>
      <c r="B38" s="3">
        <v>45380</v>
      </c>
      <c r="C38" s="55" t="s">
        <v>18</v>
      </c>
      <c r="D38" s="55"/>
      <c r="E38" s="4"/>
      <c r="F38" s="5"/>
      <c r="G38" s="5">
        <f t="shared" si="2"/>
        <v>0</v>
      </c>
      <c r="H38" s="6">
        <v>100</v>
      </c>
      <c r="I38" s="5">
        <f>F35</f>
        <v>12.4</v>
      </c>
      <c r="J38" s="5">
        <f t="shared" si="3"/>
        <v>1240</v>
      </c>
      <c r="K38" s="7">
        <f>K37-H38</f>
        <v>140</v>
      </c>
      <c r="L38" s="5">
        <f>M38/K38</f>
        <v>12.4</v>
      </c>
      <c r="M38" s="5">
        <f>M37-J38</f>
        <v>1736</v>
      </c>
    </row>
  </sheetData>
  <mergeCells count="54">
    <mergeCell ref="B2:M3"/>
    <mergeCell ref="A2:A3"/>
    <mergeCell ref="K6:M6"/>
    <mergeCell ref="K7:M7"/>
    <mergeCell ref="B5:M5"/>
    <mergeCell ref="B6:E6"/>
    <mergeCell ref="B7:E7"/>
    <mergeCell ref="F6:H6"/>
    <mergeCell ref="F7:H7"/>
    <mergeCell ref="I6:J6"/>
    <mergeCell ref="I7:J7"/>
    <mergeCell ref="C8:D8"/>
    <mergeCell ref="B8:B9"/>
    <mergeCell ref="E8:G8"/>
    <mergeCell ref="K8:M8"/>
    <mergeCell ref="H8:J8"/>
    <mergeCell ref="C9:D9"/>
    <mergeCell ref="C17:D17"/>
    <mergeCell ref="C19:D19"/>
    <mergeCell ref="C10:D10"/>
    <mergeCell ref="C11:D11"/>
    <mergeCell ref="C20:D20"/>
    <mergeCell ref="C12:D12"/>
    <mergeCell ref="C13:D13"/>
    <mergeCell ref="C14:D14"/>
    <mergeCell ref="C16:D16"/>
    <mergeCell ref="C15:D15"/>
    <mergeCell ref="C18:D18"/>
    <mergeCell ref="B23:M23"/>
    <mergeCell ref="B24:E24"/>
    <mergeCell ref="F24:H24"/>
    <mergeCell ref="I24:J24"/>
    <mergeCell ref="K24:M24"/>
    <mergeCell ref="B25:E25"/>
    <mergeCell ref="F25:H25"/>
    <mergeCell ref="I25:J25"/>
    <mergeCell ref="K25:M25"/>
    <mergeCell ref="B26:B27"/>
    <mergeCell ref="C26:D26"/>
    <mergeCell ref="E26:G26"/>
    <mergeCell ref="H26:J26"/>
    <mergeCell ref="K26:M26"/>
    <mergeCell ref="C27:D27"/>
    <mergeCell ref="C28:D28"/>
    <mergeCell ref="C29:D29"/>
    <mergeCell ref="C30:D30"/>
    <mergeCell ref="C31:D31"/>
    <mergeCell ref="C32:D32"/>
    <mergeCell ref="C38:D38"/>
    <mergeCell ref="C33:D33"/>
    <mergeCell ref="C34:D34"/>
    <mergeCell ref="C35:D35"/>
    <mergeCell ref="C36:D36"/>
    <mergeCell ref="C37:D37"/>
  </mergeCells>
  <pageMargins left="0.7" right="0.7" top="0.75" bottom="0.75" header="0.3" footer="0.3"/>
  <pageSetup orientation="portrait" r:id="rId1"/>
  <ignoredErrors>
    <ignoredError sqref="L11 L12:L20 L29:L3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I5" zoomScale="66" zoomScaleNormal="76" workbookViewId="0">
      <selection activeCell="N34" sqref="N34"/>
    </sheetView>
  </sheetViews>
  <sheetFormatPr baseColWidth="10" defaultRowHeight="14.4" x14ac:dyDescent="0.3"/>
  <cols>
    <col min="5" max="5" width="12.33203125" bestFit="1" customWidth="1"/>
    <col min="7" max="7" width="15.33203125" bestFit="1" customWidth="1"/>
    <col min="8" max="8" width="13.21875" bestFit="1" customWidth="1"/>
    <col min="10" max="10" width="15.33203125" bestFit="1" customWidth="1"/>
    <col min="11" max="11" width="13.21875" bestFit="1" customWidth="1"/>
    <col min="13" max="13" width="15.33203125" bestFit="1" customWidth="1"/>
    <col min="14" max="14" width="13.21875" bestFit="1" customWidth="1"/>
  </cols>
  <sheetData>
    <row r="2" spans="1:14" x14ac:dyDescent="0.3">
      <c r="A2" s="65" t="s">
        <v>40</v>
      </c>
      <c r="B2" s="64" t="s">
        <v>29</v>
      </c>
      <c r="C2" s="64"/>
      <c r="D2" s="64"/>
      <c r="E2" s="64"/>
      <c r="F2" s="64"/>
      <c r="G2" s="64"/>
      <c r="H2" s="64"/>
      <c r="I2" s="64"/>
      <c r="J2" s="64"/>
      <c r="K2" s="64"/>
      <c r="L2" s="64"/>
      <c r="M2" s="64"/>
      <c r="N2" s="64"/>
    </row>
    <row r="3" spans="1:14" x14ac:dyDescent="0.3">
      <c r="A3" s="65"/>
      <c r="B3" s="64"/>
      <c r="C3" s="64"/>
      <c r="D3" s="64"/>
      <c r="E3" s="64"/>
      <c r="F3" s="64"/>
      <c r="G3" s="64"/>
      <c r="H3" s="64"/>
      <c r="I3" s="64"/>
      <c r="J3" s="64"/>
      <c r="K3" s="64"/>
      <c r="L3" s="64"/>
      <c r="M3" s="64"/>
      <c r="N3" s="64"/>
    </row>
    <row r="5" spans="1:14" x14ac:dyDescent="0.3">
      <c r="B5" s="63" t="s">
        <v>16</v>
      </c>
      <c r="C5" s="63"/>
      <c r="D5" s="63"/>
      <c r="E5" s="63"/>
      <c r="F5" s="63"/>
      <c r="G5" s="63"/>
      <c r="H5" s="63"/>
      <c r="I5" s="63"/>
      <c r="J5" s="63"/>
      <c r="K5" s="63"/>
      <c r="L5" s="63"/>
      <c r="M5" s="63"/>
      <c r="N5" s="63"/>
    </row>
    <row r="6" spans="1:14" x14ac:dyDescent="0.3">
      <c r="B6" s="59" t="s">
        <v>11</v>
      </c>
      <c r="C6" s="60"/>
      <c r="D6" s="60"/>
      <c r="E6" s="60"/>
      <c r="F6" s="60"/>
      <c r="G6" s="60" t="s">
        <v>14</v>
      </c>
      <c r="H6" s="60"/>
      <c r="I6" s="60"/>
      <c r="J6" s="60" t="s">
        <v>13</v>
      </c>
      <c r="K6" s="60"/>
      <c r="L6" s="60" t="s">
        <v>12</v>
      </c>
      <c r="M6" s="60"/>
      <c r="N6" s="61"/>
    </row>
    <row r="7" spans="1:14" x14ac:dyDescent="0.3">
      <c r="B7" s="59" t="s">
        <v>30</v>
      </c>
      <c r="C7" s="60"/>
      <c r="D7" s="60"/>
      <c r="E7" s="60"/>
      <c r="F7" s="60"/>
      <c r="G7" s="60" t="s">
        <v>33</v>
      </c>
      <c r="H7" s="60"/>
      <c r="I7" s="60"/>
      <c r="J7" s="60">
        <v>1575</v>
      </c>
      <c r="K7" s="60"/>
      <c r="L7" s="60" t="s">
        <v>46</v>
      </c>
      <c r="M7" s="60"/>
      <c r="N7" s="61"/>
    </row>
    <row r="8" spans="1:14" x14ac:dyDescent="0.3">
      <c r="B8" s="62" t="s">
        <v>0</v>
      </c>
      <c r="C8" s="62" t="s">
        <v>3</v>
      </c>
      <c r="D8" s="62"/>
      <c r="E8" s="62"/>
      <c r="F8" s="62" t="s">
        <v>4</v>
      </c>
      <c r="G8" s="62"/>
      <c r="H8" s="62"/>
      <c r="I8" s="62" t="s">
        <v>9</v>
      </c>
      <c r="J8" s="62"/>
      <c r="K8" s="62"/>
      <c r="L8" s="62" t="s">
        <v>8</v>
      </c>
      <c r="M8" s="62"/>
      <c r="N8" s="62"/>
    </row>
    <row r="9" spans="1:14" x14ac:dyDescent="0.3">
      <c r="B9" s="62"/>
      <c r="C9" s="70" t="s">
        <v>1</v>
      </c>
      <c r="D9" s="71"/>
      <c r="E9" s="10" t="s">
        <v>34</v>
      </c>
      <c r="F9" s="8" t="s">
        <v>2</v>
      </c>
      <c r="G9" s="8" t="s">
        <v>5</v>
      </c>
      <c r="H9" s="8" t="s">
        <v>6</v>
      </c>
      <c r="I9" s="8" t="s">
        <v>2</v>
      </c>
      <c r="J9" s="8" t="s">
        <v>5</v>
      </c>
      <c r="K9" s="8" t="s">
        <v>6</v>
      </c>
      <c r="L9" s="8" t="s">
        <v>2</v>
      </c>
      <c r="M9" s="8" t="s">
        <v>5</v>
      </c>
      <c r="N9" s="8" t="s">
        <v>7</v>
      </c>
    </row>
    <row r="10" spans="1:14" ht="14.4" customHeight="1" x14ac:dyDescent="0.3">
      <c r="B10" s="3">
        <v>45292</v>
      </c>
      <c r="C10" s="67" t="s">
        <v>10</v>
      </c>
      <c r="D10" s="68"/>
      <c r="E10" s="11"/>
      <c r="F10" s="4">
        <v>100</v>
      </c>
      <c r="G10" s="5">
        <v>0.3</v>
      </c>
      <c r="H10" s="5">
        <f>F10*G10</f>
        <v>30</v>
      </c>
      <c r="I10" s="6"/>
      <c r="J10" s="5"/>
      <c r="K10" s="5"/>
      <c r="L10" s="7">
        <f>F10</f>
        <v>100</v>
      </c>
      <c r="M10" s="7">
        <f>G10</f>
        <v>0.3</v>
      </c>
      <c r="N10" s="5">
        <f>H10</f>
        <v>30</v>
      </c>
    </row>
    <row r="11" spans="1:14" x14ac:dyDescent="0.3">
      <c r="B11" s="3">
        <v>45301</v>
      </c>
      <c r="C11" s="67" t="s">
        <v>17</v>
      </c>
      <c r="D11" s="68"/>
      <c r="E11" s="12">
        <v>1932</v>
      </c>
      <c r="F11" s="4">
        <v>200</v>
      </c>
      <c r="G11" s="5">
        <v>0.35</v>
      </c>
      <c r="H11" s="5">
        <f t="shared" ref="H11:H19" si="0">F11*G11</f>
        <v>70</v>
      </c>
      <c r="I11" s="6"/>
      <c r="J11" s="5"/>
      <c r="K11" s="5"/>
      <c r="L11" s="7">
        <f>L10+F11</f>
        <v>300</v>
      </c>
      <c r="M11" s="5">
        <f>N11/L11</f>
        <v>0.33333333333333331</v>
      </c>
      <c r="N11" s="5">
        <f>N10+H11</f>
        <v>100</v>
      </c>
    </row>
    <row r="12" spans="1:14" x14ac:dyDescent="0.3">
      <c r="B12" s="3">
        <v>45342</v>
      </c>
      <c r="C12" s="67" t="s">
        <v>18</v>
      </c>
      <c r="D12" s="68"/>
      <c r="E12" s="12">
        <v>4991</v>
      </c>
      <c r="F12" s="4"/>
      <c r="G12" s="5"/>
      <c r="H12" s="5"/>
      <c r="I12" s="6">
        <v>100</v>
      </c>
      <c r="J12" s="5">
        <f>M11</f>
        <v>0.33333333333333331</v>
      </c>
      <c r="K12" s="5">
        <f t="shared" ref="K12:K18" si="1">I12*J12</f>
        <v>33.333333333333329</v>
      </c>
      <c r="L12" s="7">
        <f>L11-I12</f>
        <v>200</v>
      </c>
      <c r="M12" s="5">
        <f t="shared" ref="M12:M19" si="2">N12/L12</f>
        <v>0.33333333333333337</v>
      </c>
      <c r="N12" s="5">
        <f>N11-K12</f>
        <v>66.666666666666671</v>
      </c>
    </row>
    <row r="13" spans="1:14" x14ac:dyDescent="0.3">
      <c r="B13" s="3">
        <v>45342</v>
      </c>
      <c r="C13" s="67" t="s">
        <v>18</v>
      </c>
      <c r="D13" s="68"/>
      <c r="E13" s="12">
        <v>4991</v>
      </c>
      <c r="F13" s="4"/>
      <c r="G13" s="5"/>
      <c r="H13" s="5"/>
      <c r="I13" s="6">
        <v>200</v>
      </c>
      <c r="J13" s="5">
        <f>M12</f>
        <v>0.33333333333333337</v>
      </c>
      <c r="K13" s="5">
        <f t="shared" si="1"/>
        <v>66.666666666666671</v>
      </c>
      <c r="L13" s="7">
        <f>L12-I13</f>
        <v>0</v>
      </c>
      <c r="M13" s="5">
        <v>0</v>
      </c>
      <c r="N13" s="5">
        <f>N12-K13</f>
        <v>0</v>
      </c>
    </row>
    <row r="14" spans="1:14" x14ac:dyDescent="0.3">
      <c r="B14" s="3">
        <v>45349</v>
      </c>
      <c r="C14" s="66" t="s">
        <v>17</v>
      </c>
      <c r="D14" s="66"/>
      <c r="E14" s="12">
        <v>2922</v>
      </c>
      <c r="F14" s="4">
        <v>200</v>
      </c>
      <c r="G14" s="5">
        <v>0.38</v>
      </c>
      <c r="H14" s="5">
        <f t="shared" si="0"/>
        <v>76</v>
      </c>
      <c r="I14" s="6"/>
      <c r="J14" s="5"/>
      <c r="K14" s="5"/>
      <c r="L14" s="7">
        <f>L13+F14</f>
        <v>200</v>
      </c>
      <c r="M14" s="5">
        <f t="shared" si="2"/>
        <v>0.38</v>
      </c>
      <c r="N14" s="5">
        <f>N13+H14</f>
        <v>76</v>
      </c>
    </row>
    <row r="15" spans="1:14" x14ac:dyDescent="0.3">
      <c r="B15" s="3">
        <v>45366</v>
      </c>
      <c r="C15" s="66" t="s">
        <v>17</v>
      </c>
      <c r="D15" s="66"/>
      <c r="E15" s="12">
        <v>3040</v>
      </c>
      <c r="F15" s="4">
        <v>200</v>
      </c>
      <c r="G15" s="5">
        <v>0.4</v>
      </c>
      <c r="H15" s="5">
        <f t="shared" si="0"/>
        <v>80</v>
      </c>
      <c r="I15" s="6"/>
      <c r="J15" s="5"/>
      <c r="K15" s="5"/>
      <c r="L15" s="7">
        <f>L14+F15</f>
        <v>400</v>
      </c>
      <c r="M15" s="5">
        <f t="shared" si="2"/>
        <v>0.39</v>
      </c>
      <c r="N15" s="5">
        <f>N14+H15</f>
        <v>156</v>
      </c>
    </row>
    <row r="16" spans="1:14" x14ac:dyDescent="0.3">
      <c r="B16" s="3">
        <v>45369</v>
      </c>
      <c r="C16" s="67" t="s">
        <v>18</v>
      </c>
      <c r="D16" s="68"/>
      <c r="E16" s="13">
        <v>5360</v>
      </c>
      <c r="F16" s="4"/>
      <c r="G16" s="5"/>
      <c r="H16" s="5"/>
      <c r="I16" s="6">
        <v>200</v>
      </c>
      <c r="J16" s="5">
        <f>M15</f>
        <v>0.39</v>
      </c>
      <c r="K16" s="5">
        <f t="shared" si="1"/>
        <v>78</v>
      </c>
      <c r="L16" s="7">
        <f>L15-I16</f>
        <v>200</v>
      </c>
      <c r="M16" s="5">
        <f>N16/L16</f>
        <v>0.39</v>
      </c>
      <c r="N16" s="5">
        <f>N15-K16</f>
        <v>78</v>
      </c>
    </row>
    <row r="17" spans="1:14" x14ac:dyDescent="0.3">
      <c r="B17" s="3">
        <v>45369</v>
      </c>
      <c r="C17" s="69" t="s">
        <v>18</v>
      </c>
      <c r="D17" s="69"/>
      <c r="E17" s="13">
        <v>5360</v>
      </c>
      <c r="F17" s="4"/>
      <c r="G17" s="5"/>
      <c r="H17" s="5"/>
      <c r="I17" s="6">
        <v>50</v>
      </c>
      <c r="J17" s="5">
        <f>M16</f>
        <v>0.39</v>
      </c>
      <c r="K17" s="5">
        <f>I17*J17</f>
        <v>19.5</v>
      </c>
      <c r="L17" s="7">
        <f>L16-I17</f>
        <v>150</v>
      </c>
      <c r="M17" s="5">
        <f>N17/L17</f>
        <v>0.39</v>
      </c>
      <c r="N17" s="5">
        <f>N16-K17</f>
        <v>58.5</v>
      </c>
    </row>
    <row r="18" spans="1:14" x14ac:dyDescent="0.3">
      <c r="B18" s="3">
        <v>45372</v>
      </c>
      <c r="C18" s="66" t="s">
        <v>18</v>
      </c>
      <c r="D18" s="66"/>
      <c r="E18" s="12">
        <v>5546</v>
      </c>
      <c r="F18" s="4"/>
      <c r="G18" s="5"/>
      <c r="H18" s="5"/>
      <c r="I18" s="6">
        <v>120</v>
      </c>
      <c r="J18" s="5">
        <f>M16</f>
        <v>0.39</v>
      </c>
      <c r="K18" s="5">
        <f t="shared" si="1"/>
        <v>46.800000000000004</v>
      </c>
      <c r="L18" s="7">
        <f>L17-I18</f>
        <v>30</v>
      </c>
      <c r="M18" s="5">
        <f t="shared" si="2"/>
        <v>0.38999999999999985</v>
      </c>
      <c r="N18" s="5">
        <f>N17-K18</f>
        <v>11.699999999999996</v>
      </c>
    </row>
    <row r="19" spans="1:14" x14ac:dyDescent="0.3">
      <c r="B19" s="3">
        <v>45373</v>
      </c>
      <c r="C19" s="66" t="s">
        <v>17</v>
      </c>
      <c r="D19" s="66"/>
      <c r="E19" s="12">
        <v>3512</v>
      </c>
      <c r="F19" s="4">
        <v>300</v>
      </c>
      <c r="G19" s="5">
        <v>0.37</v>
      </c>
      <c r="H19" s="5">
        <f t="shared" si="0"/>
        <v>111</v>
      </c>
      <c r="I19" s="6"/>
      <c r="J19" s="5"/>
      <c r="K19" s="5"/>
      <c r="L19" s="7">
        <f>L18+F19</f>
        <v>330</v>
      </c>
      <c r="M19" s="5">
        <f t="shared" si="2"/>
        <v>0.37181818181818177</v>
      </c>
      <c r="N19" s="5">
        <f>N18+H19</f>
        <v>122.69999999999999</v>
      </c>
    </row>
    <row r="20" spans="1:14" x14ac:dyDescent="0.3">
      <c r="J20" s="1"/>
      <c r="K20" s="1"/>
      <c r="M20" s="1"/>
      <c r="N20" s="1"/>
    </row>
    <row r="21" spans="1:14" x14ac:dyDescent="0.3">
      <c r="J21" s="1"/>
      <c r="K21" s="1"/>
    </row>
    <row r="22" spans="1:14" x14ac:dyDescent="0.3">
      <c r="B22" s="63" t="s">
        <v>16</v>
      </c>
      <c r="C22" s="63"/>
      <c r="D22" s="63"/>
      <c r="E22" s="63"/>
      <c r="F22" s="63"/>
      <c r="G22" s="63"/>
      <c r="H22" s="63"/>
      <c r="I22" s="63"/>
      <c r="J22" s="63"/>
      <c r="K22" s="63"/>
      <c r="L22" s="63"/>
      <c r="M22" s="63"/>
      <c r="N22" s="63"/>
    </row>
    <row r="23" spans="1:14" x14ac:dyDescent="0.3">
      <c r="B23" s="59" t="s">
        <v>11</v>
      </c>
      <c r="C23" s="60"/>
      <c r="D23" s="60"/>
      <c r="E23" s="60"/>
      <c r="F23" s="60"/>
      <c r="G23" s="60" t="s">
        <v>14</v>
      </c>
      <c r="H23" s="60"/>
      <c r="I23" s="60"/>
      <c r="J23" s="60" t="s">
        <v>13</v>
      </c>
      <c r="K23" s="60"/>
      <c r="L23" s="60" t="s">
        <v>12</v>
      </c>
      <c r="M23" s="60"/>
      <c r="N23" s="61"/>
    </row>
    <row r="24" spans="1:14" x14ac:dyDescent="0.3">
      <c r="B24" s="59" t="s">
        <v>30</v>
      </c>
      <c r="C24" s="60"/>
      <c r="D24" s="60"/>
      <c r="E24" s="60"/>
      <c r="F24" s="60"/>
      <c r="G24" s="60" t="s">
        <v>33</v>
      </c>
      <c r="H24" s="60"/>
      <c r="I24" s="60"/>
      <c r="J24" s="60">
        <v>1575</v>
      </c>
      <c r="K24" s="60"/>
      <c r="L24" s="60" t="s">
        <v>15</v>
      </c>
      <c r="M24" s="60"/>
      <c r="N24" s="61"/>
    </row>
    <row r="25" spans="1:14" x14ac:dyDescent="0.3">
      <c r="B25" s="62" t="s">
        <v>0</v>
      </c>
      <c r="C25" s="62" t="s">
        <v>3</v>
      </c>
      <c r="D25" s="62"/>
      <c r="E25" s="62"/>
      <c r="F25" s="62" t="s">
        <v>4</v>
      </c>
      <c r="G25" s="62"/>
      <c r="H25" s="62"/>
      <c r="I25" s="62" t="s">
        <v>9</v>
      </c>
      <c r="J25" s="62"/>
      <c r="K25" s="62"/>
      <c r="L25" s="62" t="s">
        <v>8</v>
      </c>
      <c r="M25" s="62"/>
      <c r="N25" s="62"/>
    </row>
    <row r="26" spans="1:14" x14ac:dyDescent="0.3">
      <c r="B26" s="62"/>
      <c r="C26" s="70" t="s">
        <v>1</v>
      </c>
      <c r="D26" s="71"/>
      <c r="E26" s="10" t="s">
        <v>34</v>
      </c>
      <c r="F26" s="9" t="s">
        <v>2</v>
      </c>
      <c r="G26" s="9" t="s">
        <v>5</v>
      </c>
      <c r="H26" s="9" t="s">
        <v>6</v>
      </c>
      <c r="I26" s="9" t="s">
        <v>2</v>
      </c>
      <c r="J26" s="9" t="s">
        <v>5</v>
      </c>
      <c r="K26" s="9" t="s">
        <v>6</v>
      </c>
      <c r="L26" s="9" t="s">
        <v>2</v>
      </c>
      <c r="M26" s="9" t="s">
        <v>5</v>
      </c>
      <c r="N26" s="9" t="s">
        <v>7</v>
      </c>
    </row>
    <row r="27" spans="1:14" x14ac:dyDescent="0.3">
      <c r="B27" s="3">
        <v>45292</v>
      </c>
      <c r="C27" s="67" t="s">
        <v>10</v>
      </c>
      <c r="D27" s="68"/>
      <c r="E27" s="11"/>
      <c r="F27" s="4">
        <v>100</v>
      </c>
      <c r="G27" s="5">
        <v>0.3</v>
      </c>
      <c r="H27" s="5">
        <f>F27*G27</f>
        <v>30</v>
      </c>
      <c r="I27" s="6"/>
      <c r="J27" s="5"/>
      <c r="K27" s="5">
        <f>I27*J27</f>
        <v>0</v>
      </c>
      <c r="L27" s="7">
        <f>F27</f>
        <v>100</v>
      </c>
      <c r="M27" s="7">
        <f>G27</f>
        <v>0.3</v>
      </c>
      <c r="N27" s="5">
        <f>H27</f>
        <v>30</v>
      </c>
    </row>
    <row r="28" spans="1:14" x14ac:dyDescent="0.3">
      <c r="B28" s="3">
        <v>45301</v>
      </c>
      <c r="C28" s="67" t="s">
        <v>17</v>
      </c>
      <c r="D28" s="68"/>
      <c r="E28" s="12">
        <v>1932</v>
      </c>
      <c r="F28" s="4">
        <v>200</v>
      </c>
      <c r="G28" s="5">
        <v>0.35</v>
      </c>
      <c r="H28" s="5">
        <f t="shared" ref="H28:H36" si="3">F28*G28</f>
        <v>70</v>
      </c>
      <c r="I28" s="6"/>
      <c r="J28" s="5"/>
      <c r="K28" s="5">
        <f t="shared" ref="K28:K33" si="4">I28*J28</f>
        <v>0</v>
      </c>
      <c r="L28" s="7">
        <f>L27+F28</f>
        <v>300</v>
      </c>
      <c r="M28" s="5">
        <f>N28/L28</f>
        <v>0.33333333333333331</v>
      </c>
      <c r="N28" s="5">
        <f>N27+H28</f>
        <v>100</v>
      </c>
    </row>
    <row r="29" spans="1:14" x14ac:dyDescent="0.3">
      <c r="A29" t="s">
        <v>35</v>
      </c>
      <c r="B29" s="3">
        <v>45342</v>
      </c>
      <c r="C29" s="67" t="s">
        <v>18</v>
      </c>
      <c r="D29" s="68"/>
      <c r="E29" s="12">
        <v>4991</v>
      </c>
      <c r="F29" s="4"/>
      <c r="G29" s="5"/>
      <c r="H29" s="5">
        <f t="shared" si="3"/>
        <v>0</v>
      </c>
      <c r="I29" s="6">
        <v>100</v>
      </c>
      <c r="J29" s="5">
        <f>G27</f>
        <v>0.3</v>
      </c>
      <c r="K29" s="5">
        <f t="shared" si="4"/>
        <v>30</v>
      </c>
      <c r="L29" s="7">
        <f>L28-I29</f>
        <v>200</v>
      </c>
      <c r="M29" s="5">
        <f>N29/L29</f>
        <v>0.35</v>
      </c>
      <c r="N29" s="5">
        <f>N28-K29</f>
        <v>70</v>
      </c>
    </row>
    <row r="30" spans="1:14" x14ac:dyDescent="0.3">
      <c r="A30" t="s">
        <v>36</v>
      </c>
      <c r="B30" s="3">
        <v>45342</v>
      </c>
      <c r="C30" s="67" t="s">
        <v>18</v>
      </c>
      <c r="D30" s="68"/>
      <c r="E30" s="12">
        <v>4991</v>
      </c>
      <c r="F30" s="4"/>
      <c r="G30" s="5"/>
      <c r="H30" s="5">
        <f t="shared" si="3"/>
        <v>0</v>
      </c>
      <c r="I30" s="6">
        <v>200</v>
      </c>
      <c r="J30" s="5">
        <f>G28</f>
        <v>0.35</v>
      </c>
      <c r="K30" s="5">
        <f t="shared" si="4"/>
        <v>70</v>
      </c>
      <c r="L30" s="7">
        <f>L29-I30</f>
        <v>0</v>
      </c>
      <c r="M30" s="5">
        <v>0</v>
      </c>
      <c r="N30" s="5">
        <f>N29-K30</f>
        <v>0</v>
      </c>
    </row>
    <row r="31" spans="1:14" x14ac:dyDescent="0.3">
      <c r="B31" s="3">
        <v>45349</v>
      </c>
      <c r="C31" s="66" t="s">
        <v>17</v>
      </c>
      <c r="D31" s="66"/>
      <c r="E31" s="12">
        <v>2922</v>
      </c>
      <c r="F31" s="4">
        <v>200</v>
      </c>
      <c r="G31" s="5">
        <v>0.38</v>
      </c>
      <c r="H31" s="5">
        <f t="shared" si="3"/>
        <v>76</v>
      </c>
      <c r="I31" s="6"/>
      <c r="J31" s="5"/>
      <c r="K31" s="5">
        <f t="shared" si="4"/>
        <v>0</v>
      </c>
      <c r="L31" s="7">
        <f>L30+F31</f>
        <v>200</v>
      </c>
      <c r="M31" s="5">
        <f t="shared" ref="M31:M36" si="5">N31/L31</f>
        <v>0.38</v>
      </c>
      <c r="N31" s="5">
        <f>N30+H31</f>
        <v>76</v>
      </c>
    </row>
    <row r="32" spans="1:14" x14ac:dyDescent="0.3">
      <c r="B32" s="3">
        <v>45366</v>
      </c>
      <c r="C32" s="66" t="s">
        <v>17</v>
      </c>
      <c r="D32" s="66"/>
      <c r="E32" s="12">
        <v>3040</v>
      </c>
      <c r="F32" s="4">
        <v>200</v>
      </c>
      <c r="G32" s="5">
        <v>0.4</v>
      </c>
      <c r="H32" s="5">
        <f t="shared" si="3"/>
        <v>80</v>
      </c>
      <c r="I32" s="6"/>
      <c r="J32" s="5"/>
      <c r="K32" s="5">
        <f t="shared" si="4"/>
        <v>0</v>
      </c>
      <c r="L32" s="7">
        <f>L31+F32</f>
        <v>400</v>
      </c>
      <c r="M32" s="5">
        <f t="shared" si="5"/>
        <v>0.39</v>
      </c>
      <c r="N32" s="5">
        <f>N31+H32</f>
        <v>156</v>
      </c>
    </row>
    <row r="33" spans="1:14" x14ac:dyDescent="0.3">
      <c r="A33" t="s">
        <v>37</v>
      </c>
      <c r="B33" s="3">
        <v>45369</v>
      </c>
      <c r="C33" s="67" t="s">
        <v>18</v>
      </c>
      <c r="D33" s="68"/>
      <c r="E33" s="13">
        <v>5360</v>
      </c>
      <c r="F33" s="4"/>
      <c r="G33" s="5"/>
      <c r="H33" s="5">
        <f t="shared" si="3"/>
        <v>0</v>
      </c>
      <c r="I33" s="6">
        <v>200</v>
      </c>
      <c r="J33" s="5">
        <f>G31</f>
        <v>0.38</v>
      </c>
      <c r="K33" s="5">
        <f t="shared" si="4"/>
        <v>76</v>
      </c>
      <c r="L33" s="7">
        <f>L32-I33</f>
        <v>200</v>
      </c>
      <c r="M33" s="5">
        <f t="shared" si="5"/>
        <v>0.4</v>
      </c>
      <c r="N33" s="5">
        <f>N32-K33</f>
        <v>80</v>
      </c>
    </row>
    <row r="34" spans="1:14" x14ac:dyDescent="0.3">
      <c r="A34" t="s">
        <v>38</v>
      </c>
      <c r="B34" s="3">
        <v>45369</v>
      </c>
      <c r="C34" s="69" t="s">
        <v>18</v>
      </c>
      <c r="D34" s="69"/>
      <c r="E34" s="13">
        <v>5360</v>
      </c>
      <c r="F34" s="4"/>
      <c r="G34" s="5"/>
      <c r="H34" s="5">
        <f t="shared" si="3"/>
        <v>0</v>
      </c>
      <c r="I34" s="6">
        <v>50</v>
      </c>
      <c r="J34" s="5">
        <f>G32</f>
        <v>0.4</v>
      </c>
      <c r="K34" s="5">
        <f>I34*J34</f>
        <v>20</v>
      </c>
      <c r="L34" s="7">
        <f>L33-I34</f>
        <v>150</v>
      </c>
      <c r="M34" s="5">
        <f t="shared" si="5"/>
        <v>0.4</v>
      </c>
      <c r="N34" s="5">
        <f>N33-K34</f>
        <v>60</v>
      </c>
    </row>
    <row r="35" spans="1:14" x14ac:dyDescent="0.3">
      <c r="A35" t="s">
        <v>39</v>
      </c>
      <c r="B35" s="3">
        <v>45372</v>
      </c>
      <c r="C35" s="66" t="s">
        <v>18</v>
      </c>
      <c r="D35" s="66"/>
      <c r="E35" s="12">
        <v>5546</v>
      </c>
      <c r="F35" s="4"/>
      <c r="G35" s="5"/>
      <c r="H35" s="5">
        <f t="shared" si="3"/>
        <v>0</v>
      </c>
      <c r="I35" s="6">
        <v>120</v>
      </c>
      <c r="J35" s="5">
        <f>G32</f>
        <v>0.4</v>
      </c>
      <c r="K35" s="5">
        <f>I35*J35</f>
        <v>48</v>
      </c>
      <c r="L35" s="7">
        <f>L34-I35</f>
        <v>30</v>
      </c>
      <c r="M35" s="5">
        <f t="shared" si="5"/>
        <v>0.4</v>
      </c>
      <c r="N35" s="5">
        <f>N34-K35</f>
        <v>12</v>
      </c>
    </row>
    <row r="36" spans="1:14" x14ac:dyDescent="0.3">
      <c r="B36" s="3">
        <v>45373</v>
      </c>
      <c r="C36" s="66" t="s">
        <v>17</v>
      </c>
      <c r="D36" s="66"/>
      <c r="E36" s="12">
        <v>3512</v>
      </c>
      <c r="F36" s="4">
        <v>300</v>
      </c>
      <c r="G36" s="5">
        <v>0.37</v>
      </c>
      <c r="H36" s="5">
        <f t="shared" si="3"/>
        <v>111</v>
      </c>
      <c r="I36" s="6"/>
      <c r="J36" s="5"/>
      <c r="K36" s="5">
        <f>I36*J36</f>
        <v>0</v>
      </c>
      <c r="L36" s="7">
        <f>L35+F36</f>
        <v>330</v>
      </c>
      <c r="M36" s="5">
        <f t="shared" si="5"/>
        <v>0.37272727272727274</v>
      </c>
      <c r="N36" s="5">
        <f>N35+H36</f>
        <v>123</v>
      </c>
    </row>
  </sheetData>
  <mergeCells count="52">
    <mergeCell ref="C18:D18"/>
    <mergeCell ref="C19:D19"/>
    <mergeCell ref="C12:D12"/>
    <mergeCell ref="C16:D16"/>
    <mergeCell ref="C9:D9"/>
    <mergeCell ref="C10:D10"/>
    <mergeCell ref="C11:D11"/>
    <mergeCell ref="C15:D15"/>
    <mergeCell ref="C13:D13"/>
    <mergeCell ref="C14:D14"/>
    <mergeCell ref="C17:D17"/>
    <mergeCell ref="B7:F7"/>
    <mergeCell ref="G7:I7"/>
    <mergeCell ref="J7:K7"/>
    <mergeCell ref="L7:N7"/>
    <mergeCell ref="B8:B9"/>
    <mergeCell ref="C8:E8"/>
    <mergeCell ref="F8:H8"/>
    <mergeCell ref="I8:K8"/>
    <mergeCell ref="L8:N8"/>
    <mergeCell ref="A2:A3"/>
    <mergeCell ref="B2:N3"/>
    <mergeCell ref="B5:N5"/>
    <mergeCell ref="B6:F6"/>
    <mergeCell ref="G6:I6"/>
    <mergeCell ref="J6:K6"/>
    <mergeCell ref="L6:N6"/>
    <mergeCell ref="B22:N22"/>
    <mergeCell ref="B23:F23"/>
    <mergeCell ref="G23:I23"/>
    <mergeCell ref="J23:K23"/>
    <mergeCell ref="L23:N23"/>
    <mergeCell ref="B24:F24"/>
    <mergeCell ref="G24:I24"/>
    <mergeCell ref="J24:K24"/>
    <mergeCell ref="L24:N24"/>
    <mergeCell ref="B25:B26"/>
    <mergeCell ref="C25:E25"/>
    <mergeCell ref="F25:H25"/>
    <mergeCell ref="I25:K25"/>
    <mergeCell ref="L25:N25"/>
    <mergeCell ref="C26:D26"/>
    <mergeCell ref="C27:D27"/>
    <mergeCell ref="C28:D28"/>
    <mergeCell ref="C29:D29"/>
    <mergeCell ref="C30:D30"/>
    <mergeCell ref="C31:D31"/>
    <mergeCell ref="C32:D32"/>
    <mergeCell ref="C33:D33"/>
    <mergeCell ref="C34:D34"/>
    <mergeCell ref="C35:D35"/>
    <mergeCell ref="C36:D36"/>
  </mergeCells>
  <pageMargins left="0.7" right="0.7" top="0.75" bottom="0.75" header="0.3" footer="0.3"/>
  <pageSetup orientation="portrait" r:id="rId1"/>
  <ignoredErrors>
    <ignoredError sqref="M11:M12 M14:M19 M28:M3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2"/>
  <sheetViews>
    <sheetView zoomScale="66" zoomScaleNormal="66" workbookViewId="0">
      <selection activeCell="O34" sqref="O34"/>
    </sheetView>
  </sheetViews>
  <sheetFormatPr baseColWidth="10" defaultRowHeight="14.4" x14ac:dyDescent="0.3"/>
  <cols>
    <col min="1" max="1" width="12.33203125" bestFit="1" customWidth="1"/>
    <col min="6" max="6" width="15.33203125" bestFit="1" customWidth="1"/>
    <col min="7" max="7" width="13.21875" bestFit="1" customWidth="1"/>
    <col min="9" max="9" width="15.33203125" bestFit="1" customWidth="1"/>
    <col min="10" max="10" width="13.21875" bestFit="1" customWidth="1"/>
    <col min="12" max="12" width="15.33203125" bestFit="1" customWidth="1"/>
    <col min="13" max="13" width="13.21875" bestFit="1" customWidth="1"/>
    <col min="15" max="15" width="12.33203125" bestFit="1" customWidth="1"/>
    <col min="16" max="16" width="12.33203125" customWidth="1"/>
  </cols>
  <sheetData>
    <row r="2" spans="1:22" x14ac:dyDescent="0.3">
      <c r="A2" s="65" t="s">
        <v>41</v>
      </c>
      <c r="B2" s="64" t="s">
        <v>42</v>
      </c>
      <c r="C2" s="64"/>
      <c r="D2" s="64"/>
      <c r="E2" s="64"/>
      <c r="F2" s="64"/>
      <c r="G2" s="64"/>
      <c r="H2" s="64"/>
      <c r="I2" s="64"/>
      <c r="J2" s="64"/>
      <c r="K2" s="64"/>
      <c r="L2" s="64"/>
      <c r="M2" s="64"/>
    </row>
    <row r="3" spans="1:22" x14ac:dyDescent="0.3">
      <c r="A3" s="65"/>
      <c r="B3" s="64"/>
      <c r="C3" s="64"/>
      <c r="D3" s="64"/>
      <c r="E3" s="64"/>
      <c r="F3" s="64"/>
      <c r="G3" s="64"/>
      <c r="H3" s="64"/>
      <c r="I3" s="64"/>
      <c r="J3" s="64"/>
      <c r="K3" s="64"/>
      <c r="L3" s="64"/>
      <c r="M3" s="64"/>
    </row>
    <row r="5" spans="1:22" x14ac:dyDescent="0.3">
      <c r="B5" s="63" t="s">
        <v>47</v>
      </c>
      <c r="C5" s="63"/>
      <c r="D5" s="63"/>
      <c r="E5" s="63"/>
      <c r="F5" s="63"/>
      <c r="G5" s="63"/>
      <c r="H5" s="63"/>
      <c r="I5" s="63"/>
      <c r="J5" s="63"/>
      <c r="K5" s="63"/>
      <c r="L5" s="63"/>
      <c r="M5" s="63"/>
    </row>
    <row r="6" spans="1:22" x14ac:dyDescent="0.3">
      <c r="B6" s="72" t="s">
        <v>48</v>
      </c>
      <c r="C6" s="73"/>
      <c r="D6" s="73"/>
      <c r="E6" s="73"/>
      <c r="F6" s="73" t="s">
        <v>14</v>
      </c>
      <c r="G6" s="73"/>
      <c r="H6" s="73"/>
      <c r="I6" s="73" t="s">
        <v>13</v>
      </c>
      <c r="J6" s="73"/>
      <c r="K6" s="73" t="s">
        <v>12</v>
      </c>
      <c r="L6" s="73"/>
      <c r="M6" s="74"/>
    </row>
    <row r="8" spans="1:22" x14ac:dyDescent="0.3">
      <c r="B8" s="75" t="s">
        <v>43</v>
      </c>
      <c r="C8" s="76"/>
      <c r="D8" s="76"/>
      <c r="E8" s="76"/>
      <c r="F8" s="77" t="s">
        <v>44</v>
      </c>
      <c r="G8" s="77"/>
      <c r="H8" s="77"/>
      <c r="I8" s="77" t="s">
        <v>45</v>
      </c>
      <c r="J8" s="77"/>
      <c r="K8" s="77" t="s">
        <v>46</v>
      </c>
      <c r="L8" s="77"/>
      <c r="M8" s="71"/>
      <c r="O8" s="80" t="s">
        <v>43</v>
      </c>
      <c r="P8" s="80"/>
      <c r="Q8" s="80"/>
      <c r="R8" s="80"/>
      <c r="S8" s="80"/>
      <c r="T8" s="80"/>
    </row>
    <row r="9" spans="1:22" x14ac:dyDescent="0.3">
      <c r="B9" s="62" t="s">
        <v>0</v>
      </c>
      <c r="C9" s="62" t="s">
        <v>3</v>
      </c>
      <c r="D9" s="62"/>
      <c r="E9" s="62" t="s">
        <v>4</v>
      </c>
      <c r="F9" s="62"/>
      <c r="G9" s="62"/>
      <c r="H9" s="62" t="s">
        <v>9</v>
      </c>
      <c r="I9" s="62"/>
      <c r="J9" s="62"/>
      <c r="K9" s="62" t="s">
        <v>8</v>
      </c>
      <c r="L9" s="62"/>
      <c r="M9" s="62"/>
      <c r="O9" s="18" t="s">
        <v>54</v>
      </c>
      <c r="P9" s="18" t="s">
        <v>55</v>
      </c>
      <c r="Q9" s="18" t="s">
        <v>51</v>
      </c>
      <c r="R9" s="18" t="s">
        <v>52</v>
      </c>
      <c r="S9" s="18" t="s">
        <v>53</v>
      </c>
      <c r="T9" s="18" t="s">
        <v>67</v>
      </c>
    </row>
    <row r="10" spans="1:22" x14ac:dyDescent="0.3">
      <c r="B10" s="62"/>
      <c r="C10" s="70" t="s">
        <v>1</v>
      </c>
      <c r="D10" s="71"/>
      <c r="E10" s="8" t="s">
        <v>2</v>
      </c>
      <c r="F10" s="8" t="s">
        <v>5</v>
      </c>
      <c r="G10" s="8" t="s">
        <v>6</v>
      </c>
      <c r="H10" s="8" t="s">
        <v>2</v>
      </c>
      <c r="I10" s="8" t="s">
        <v>5</v>
      </c>
      <c r="J10" s="8" t="s">
        <v>6</v>
      </c>
      <c r="K10" s="8" t="s">
        <v>2</v>
      </c>
      <c r="L10" s="8" t="s">
        <v>5</v>
      </c>
      <c r="M10" s="8" t="s">
        <v>7</v>
      </c>
      <c r="O10" s="16">
        <v>45303</v>
      </c>
      <c r="P10" s="16" t="s">
        <v>17</v>
      </c>
      <c r="Q10" s="20">
        <f>6.2/3</f>
        <v>2.0666666666666669</v>
      </c>
      <c r="R10" s="20">
        <f>9.4/3</f>
        <v>3.1333333333333333</v>
      </c>
      <c r="S10" s="17">
        <f>18.6/3</f>
        <v>6.2</v>
      </c>
      <c r="T10" s="19">
        <f>Q10+R10+S10</f>
        <v>11.4</v>
      </c>
    </row>
    <row r="11" spans="1:22" ht="14.4" customHeight="1" x14ac:dyDescent="0.3">
      <c r="B11" s="3">
        <v>45292</v>
      </c>
      <c r="C11" s="67" t="s">
        <v>10</v>
      </c>
      <c r="D11" s="68"/>
      <c r="E11" s="4">
        <v>1500</v>
      </c>
      <c r="F11" s="5">
        <v>4.5</v>
      </c>
      <c r="G11" s="5">
        <f>E11*F11</f>
        <v>6750</v>
      </c>
      <c r="H11" s="6"/>
      <c r="I11" s="5"/>
      <c r="J11" s="5"/>
      <c r="K11" s="7">
        <f>E11</f>
        <v>1500</v>
      </c>
      <c r="L11" s="7">
        <f>F11</f>
        <v>4.5</v>
      </c>
      <c r="M11" s="5">
        <f>G11</f>
        <v>6750</v>
      </c>
      <c r="O11" s="16">
        <v>45307</v>
      </c>
      <c r="P11" s="16" t="s">
        <v>17</v>
      </c>
      <c r="Q11" s="20">
        <f>18.4/3</f>
        <v>6.1333333333333329</v>
      </c>
      <c r="R11" s="17">
        <f>9.3/3</f>
        <v>3.1</v>
      </c>
      <c r="S11" s="17">
        <f>24.2/3</f>
        <v>8.0666666666666664</v>
      </c>
      <c r="T11" s="19">
        <f>Q11+R11+S11</f>
        <v>17.299999999999997</v>
      </c>
    </row>
    <row r="12" spans="1:22" x14ac:dyDescent="0.3">
      <c r="B12" s="3">
        <v>45298</v>
      </c>
      <c r="C12" s="67" t="s">
        <v>18</v>
      </c>
      <c r="D12" s="68"/>
      <c r="E12" s="4"/>
      <c r="F12" s="5"/>
      <c r="G12" s="5"/>
      <c r="H12" s="6">
        <v>500</v>
      </c>
      <c r="I12" s="5">
        <f>L11</f>
        <v>4.5</v>
      </c>
      <c r="J12" s="5">
        <f>H12*I12</f>
        <v>2250</v>
      </c>
      <c r="K12" s="7">
        <f>K11-H12</f>
        <v>1000</v>
      </c>
      <c r="L12" s="5">
        <f>M12/K12</f>
        <v>4.5</v>
      </c>
      <c r="M12" s="5">
        <f>M11-J12</f>
        <v>4500</v>
      </c>
      <c r="N12" s="39"/>
      <c r="O12" s="40"/>
      <c r="P12" s="40"/>
      <c r="Q12" s="41"/>
      <c r="R12" s="41"/>
      <c r="S12" s="41"/>
      <c r="T12" s="42"/>
      <c r="U12" s="39"/>
      <c r="V12" s="39"/>
    </row>
    <row r="13" spans="1:22" x14ac:dyDescent="0.3">
      <c r="B13" s="3">
        <v>45303</v>
      </c>
      <c r="C13" s="67" t="s">
        <v>17</v>
      </c>
      <c r="D13" s="68"/>
      <c r="E13" s="4">
        <v>250</v>
      </c>
      <c r="F13" s="5">
        <f>(4.6*0.95)+(T10/E13)</f>
        <v>4.4155999999999995</v>
      </c>
      <c r="G13" s="5">
        <f>E13*F13</f>
        <v>1103.8999999999999</v>
      </c>
      <c r="H13" s="6"/>
      <c r="I13" s="5"/>
      <c r="J13" s="5"/>
      <c r="K13" s="7">
        <f>K12+E13</f>
        <v>1250</v>
      </c>
      <c r="L13" s="5">
        <f>M13/K13</f>
        <v>4.4831199999999995</v>
      </c>
      <c r="M13" s="5">
        <f>M12+G13</f>
        <v>5603.9</v>
      </c>
      <c r="O13" s="14"/>
      <c r="P13" s="14"/>
      <c r="Q13" s="14"/>
      <c r="R13" s="14"/>
      <c r="S13" s="14"/>
      <c r="T13" s="14"/>
    </row>
    <row r="14" spans="1:22" x14ac:dyDescent="0.3">
      <c r="B14" s="3">
        <v>45306</v>
      </c>
      <c r="C14" s="67" t="s">
        <v>18</v>
      </c>
      <c r="D14" s="68"/>
      <c r="E14" s="4"/>
      <c r="F14" s="5"/>
      <c r="G14" s="5"/>
      <c r="H14" s="6">
        <v>300</v>
      </c>
      <c r="I14" s="5">
        <f>L13</f>
        <v>4.4831199999999995</v>
      </c>
      <c r="J14" s="5">
        <f>H14*I14</f>
        <v>1344.9359999999999</v>
      </c>
      <c r="K14" s="7">
        <f>K13-H14</f>
        <v>950</v>
      </c>
      <c r="L14" s="5">
        <f>M14/K14</f>
        <v>4.4831199999999995</v>
      </c>
      <c r="M14" s="5">
        <f>M13-J14</f>
        <v>4258.9639999999999</v>
      </c>
      <c r="O14" s="80" t="s">
        <v>49</v>
      </c>
      <c r="P14" s="80"/>
      <c r="Q14" s="80"/>
      <c r="R14" s="80"/>
      <c r="S14" s="80"/>
      <c r="T14" s="80"/>
    </row>
    <row r="15" spans="1:22" x14ac:dyDescent="0.3">
      <c r="B15" s="3">
        <v>45307</v>
      </c>
      <c r="C15" s="66" t="s">
        <v>17</v>
      </c>
      <c r="D15" s="66"/>
      <c r="E15" s="4">
        <v>200</v>
      </c>
      <c r="F15" s="5">
        <f>(4.7*0.93)+(T11/E15)</f>
        <v>4.4575000000000005</v>
      </c>
      <c r="G15" s="5">
        <f>E15*F15</f>
        <v>891.50000000000011</v>
      </c>
      <c r="H15" s="6"/>
      <c r="I15" s="5"/>
      <c r="J15" s="5"/>
      <c r="K15" s="7">
        <f>K14+E15</f>
        <v>1150</v>
      </c>
      <c r="L15" s="5">
        <f>M15/K15</f>
        <v>4.4786643478260872</v>
      </c>
      <c r="M15" s="5">
        <f>M14+G15</f>
        <v>5150.4639999999999</v>
      </c>
      <c r="O15" s="18" t="s">
        <v>54</v>
      </c>
      <c r="P15" s="18" t="s">
        <v>55</v>
      </c>
      <c r="Q15" s="18" t="s">
        <v>51</v>
      </c>
      <c r="R15" s="18" t="s">
        <v>52</v>
      </c>
      <c r="S15" s="18" t="s">
        <v>53</v>
      </c>
      <c r="T15" s="18" t="s">
        <v>67</v>
      </c>
    </row>
    <row r="16" spans="1:22" x14ac:dyDescent="0.3">
      <c r="B16" s="3">
        <v>45308</v>
      </c>
      <c r="C16" s="66" t="s">
        <v>18</v>
      </c>
      <c r="D16" s="66"/>
      <c r="E16" s="4"/>
      <c r="F16" s="5"/>
      <c r="G16" s="5"/>
      <c r="H16" s="6">
        <v>100</v>
      </c>
      <c r="I16" s="15">
        <f>(L15*0.9)</f>
        <v>4.0307979130434788</v>
      </c>
      <c r="J16" s="5">
        <f>H16*I16</f>
        <v>403.07979130434785</v>
      </c>
      <c r="K16" s="7">
        <f>K15-H16</f>
        <v>1050</v>
      </c>
      <c r="L16" s="5">
        <f>M16/K16</f>
        <v>4.5213182939958587</v>
      </c>
      <c r="M16" s="5">
        <f>M15-J16</f>
        <v>4747.384208695652</v>
      </c>
      <c r="O16" s="16">
        <v>45303</v>
      </c>
      <c r="P16" s="16" t="s">
        <v>17</v>
      </c>
      <c r="Q16" s="20">
        <f>6.2/3</f>
        <v>2.0666666666666669</v>
      </c>
      <c r="R16" s="20">
        <f>9.4/3</f>
        <v>3.1333333333333333</v>
      </c>
      <c r="S16" s="17">
        <f>18.6/3</f>
        <v>6.2</v>
      </c>
      <c r="T16" s="19">
        <f>Q16+R16+S16</f>
        <v>11.4</v>
      </c>
    </row>
    <row r="17" spans="1:21" x14ac:dyDescent="0.3">
      <c r="B17" s="3">
        <v>45319</v>
      </c>
      <c r="C17" s="67" t="s">
        <v>18</v>
      </c>
      <c r="D17" s="68"/>
      <c r="E17" s="4"/>
      <c r="F17" s="5"/>
      <c r="G17" s="5"/>
      <c r="H17" s="6">
        <v>1050</v>
      </c>
      <c r="I17" s="5">
        <f>L16</f>
        <v>4.5213182939958587</v>
      </c>
      <c r="J17" s="5">
        <f>H17*I17</f>
        <v>4747.384208695652</v>
      </c>
      <c r="K17" s="7">
        <f>K16-H17</f>
        <v>0</v>
      </c>
      <c r="L17" s="5">
        <v>0</v>
      </c>
      <c r="M17" s="5">
        <f>M16-J17</f>
        <v>0</v>
      </c>
      <c r="O17" s="16">
        <v>45307</v>
      </c>
      <c r="P17" s="16" t="s">
        <v>17</v>
      </c>
      <c r="Q17" s="20">
        <f>18.4/3</f>
        <v>6.1333333333333329</v>
      </c>
      <c r="R17" s="17">
        <f>9.3/3</f>
        <v>3.1</v>
      </c>
      <c r="S17" s="17">
        <f>24.2/3</f>
        <v>8.0666666666666664</v>
      </c>
      <c r="T17" s="19">
        <f>Q17+R17+S17</f>
        <v>17.299999999999997</v>
      </c>
    </row>
    <row r="18" spans="1:21" x14ac:dyDescent="0.3">
      <c r="I18" s="1"/>
      <c r="J18" s="1"/>
      <c r="L18" s="1"/>
      <c r="M18" s="1"/>
      <c r="N18" s="39"/>
      <c r="O18" s="40"/>
      <c r="P18" s="40"/>
      <c r="Q18" s="41"/>
      <c r="R18" s="41"/>
      <c r="S18" s="41"/>
      <c r="T18" s="42"/>
      <c r="U18" s="39"/>
    </row>
    <row r="19" spans="1:21" x14ac:dyDescent="0.3">
      <c r="B19" s="78" t="s">
        <v>49</v>
      </c>
      <c r="C19" s="79"/>
      <c r="D19" s="79"/>
      <c r="E19" s="79"/>
      <c r="F19" s="73" t="s">
        <v>60</v>
      </c>
      <c r="G19" s="73"/>
      <c r="H19" s="73"/>
      <c r="I19" s="73" t="s">
        <v>61</v>
      </c>
      <c r="J19" s="73"/>
      <c r="K19" s="73" t="s">
        <v>15</v>
      </c>
      <c r="L19" s="73"/>
      <c r="M19" s="74"/>
    </row>
    <row r="20" spans="1:21" x14ac:dyDescent="0.3">
      <c r="B20" s="62" t="s">
        <v>0</v>
      </c>
      <c r="C20" s="62" t="s">
        <v>3</v>
      </c>
      <c r="D20" s="62"/>
      <c r="E20" s="62" t="s">
        <v>4</v>
      </c>
      <c r="F20" s="62"/>
      <c r="G20" s="62"/>
      <c r="H20" s="62" t="s">
        <v>9</v>
      </c>
      <c r="I20" s="62"/>
      <c r="J20" s="62"/>
      <c r="K20" s="62" t="s">
        <v>8</v>
      </c>
      <c r="L20" s="62"/>
      <c r="M20" s="62"/>
      <c r="O20" s="80" t="s">
        <v>50</v>
      </c>
      <c r="P20" s="80"/>
      <c r="Q20" s="80"/>
      <c r="R20" s="80"/>
      <c r="S20" s="80"/>
      <c r="T20" s="80"/>
    </row>
    <row r="21" spans="1:21" x14ac:dyDescent="0.3">
      <c r="B21" s="62"/>
      <c r="C21" s="70" t="s">
        <v>1</v>
      </c>
      <c r="D21" s="71"/>
      <c r="E21" s="8" t="s">
        <v>2</v>
      </c>
      <c r="F21" s="8" t="s">
        <v>5</v>
      </c>
      <c r="G21" s="8" t="s">
        <v>6</v>
      </c>
      <c r="H21" s="8" t="s">
        <v>2</v>
      </c>
      <c r="I21" s="8" t="s">
        <v>5</v>
      </c>
      <c r="J21" s="8" t="s">
        <v>6</v>
      </c>
      <c r="K21" s="8" t="s">
        <v>2</v>
      </c>
      <c r="L21" s="8" t="s">
        <v>5</v>
      </c>
      <c r="M21" s="8" t="s">
        <v>7</v>
      </c>
      <c r="O21" s="18" t="s">
        <v>54</v>
      </c>
      <c r="P21" s="18" t="s">
        <v>55</v>
      </c>
      <c r="Q21" s="18" t="s">
        <v>51</v>
      </c>
      <c r="R21" s="18" t="s">
        <v>52</v>
      </c>
      <c r="S21" s="18" t="s">
        <v>53</v>
      </c>
      <c r="T21" s="18" t="s">
        <v>67</v>
      </c>
    </row>
    <row r="22" spans="1:21" x14ac:dyDescent="0.3">
      <c r="B22" s="3">
        <v>45292</v>
      </c>
      <c r="C22" s="67" t="s">
        <v>10</v>
      </c>
      <c r="D22" s="68"/>
      <c r="E22" s="4">
        <v>2000</v>
      </c>
      <c r="F22" s="5">
        <v>4.08</v>
      </c>
      <c r="G22" s="5">
        <f>E22*F22</f>
        <v>8160</v>
      </c>
      <c r="H22" s="6"/>
      <c r="I22" s="5"/>
      <c r="J22" s="5"/>
      <c r="K22" s="7">
        <f>E22</f>
        <v>2000</v>
      </c>
      <c r="L22" s="7">
        <f t="shared" ref="L22:L28" si="0">M22/K22</f>
        <v>4.08</v>
      </c>
      <c r="M22" s="5">
        <f>G22</f>
        <v>8160</v>
      </c>
      <c r="O22" s="16">
        <v>45303</v>
      </c>
      <c r="P22" s="16" t="s">
        <v>17</v>
      </c>
      <c r="Q22" s="20">
        <f>6.2/3</f>
        <v>2.0666666666666669</v>
      </c>
      <c r="R22" s="20">
        <f>9.4/3</f>
        <v>3.1333333333333333</v>
      </c>
      <c r="S22" s="17">
        <f>18.6/3</f>
        <v>6.2</v>
      </c>
      <c r="T22" s="19">
        <f>Q22+R22+S22</f>
        <v>11.4</v>
      </c>
    </row>
    <row r="23" spans="1:21" x14ac:dyDescent="0.3">
      <c r="A23" t="s">
        <v>56</v>
      </c>
      <c r="B23" s="3">
        <v>45301</v>
      </c>
      <c r="C23" s="67" t="s">
        <v>18</v>
      </c>
      <c r="D23" s="68"/>
      <c r="E23" s="4"/>
      <c r="F23" s="5"/>
      <c r="G23" s="5"/>
      <c r="H23" s="6">
        <v>150</v>
      </c>
      <c r="I23" s="5">
        <f>F22</f>
        <v>4.08</v>
      </c>
      <c r="J23" s="5">
        <f>H23*I23</f>
        <v>612</v>
      </c>
      <c r="K23" s="7">
        <f>K22-H23</f>
        <v>1850</v>
      </c>
      <c r="L23" s="5">
        <f t="shared" si="0"/>
        <v>4.08</v>
      </c>
      <c r="M23" s="5">
        <f>M22-J23</f>
        <v>7548</v>
      </c>
      <c r="O23" s="16">
        <v>45307</v>
      </c>
      <c r="P23" s="16" t="s">
        <v>17</v>
      </c>
      <c r="Q23" s="20">
        <f>18.4/3</f>
        <v>6.1333333333333329</v>
      </c>
      <c r="R23" s="17">
        <f>9.3/3</f>
        <v>3.1</v>
      </c>
      <c r="S23" s="17">
        <f>24.2/3</f>
        <v>8.0666666666666664</v>
      </c>
      <c r="T23" s="19">
        <f>Q23+R23+S23</f>
        <v>17.299999999999997</v>
      </c>
    </row>
    <row r="24" spans="1:21" x14ac:dyDescent="0.3">
      <c r="B24" s="3">
        <v>45303</v>
      </c>
      <c r="C24" s="67" t="s">
        <v>17</v>
      </c>
      <c r="D24" s="68"/>
      <c r="E24" s="4">
        <v>250</v>
      </c>
      <c r="F24" s="5">
        <f>(5.2*0.95)+(T16/E24)</f>
        <v>4.9855999999999998</v>
      </c>
      <c r="G24" s="5">
        <f>E24*F24</f>
        <v>1246.3999999999999</v>
      </c>
      <c r="H24" s="6"/>
      <c r="I24" s="5"/>
      <c r="J24" s="5"/>
      <c r="K24" s="7">
        <f>K23+E24</f>
        <v>2100</v>
      </c>
      <c r="L24" s="5">
        <f t="shared" si="0"/>
        <v>4.1878095238095234</v>
      </c>
      <c r="M24" s="5">
        <f>M23+G24</f>
        <v>8794.4</v>
      </c>
      <c r="N24" s="39"/>
      <c r="O24" s="40"/>
      <c r="P24" s="40"/>
      <c r="Q24" s="41"/>
      <c r="R24" s="41"/>
      <c r="S24" s="41"/>
      <c r="T24" s="42"/>
      <c r="U24" s="39"/>
    </row>
    <row r="25" spans="1:21" x14ac:dyDescent="0.3">
      <c r="A25" t="s">
        <v>57</v>
      </c>
      <c r="B25" s="3">
        <v>45306</v>
      </c>
      <c r="C25" s="67" t="s">
        <v>18</v>
      </c>
      <c r="D25" s="68"/>
      <c r="E25" s="4"/>
      <c r="F25" s="5"/>
      <c r="G25" s="5"/>
      <c r="H25" s="6">
        <v>500</v>
      </c>
      <c r="I25" s="5">
        <f>F22</f>
        <v>4.08</v>
      </c>
      <c r="J25" s="5">
        <f>H25*I25</f>
        <v>2040</v>
      </c>
      <c r="K25" s="7">
        <f>K24-H25</f>
        <v>1600</v>
      </c>
      <c r="L25" s="5">
        <f t="shared" si="0"/>
        <v>4.2214999999999998</v>
      </c>
      <c r="M25" s="5">
        <f>M24-J25</f>
        <v>6754.4</v>
      </c>
    </row>
    <row r="26" spans="1:21" x14ac:dyDescent="0.3">
      <c r="B26" s="3">
        <v>45307</v>
      </c>
      <c r="C26" s="66" t="s">
        <v>17</v>
      </c>
      <c r="D26" s="66"/>
      <c r="E26" s="4">
        <v>300</v>
      </c>
      <c r="F26" s="5">
        <f>(4.9*0.93)+(T17/E26)</f>
        <v>4.6146666666666674</v>
      </c>
      <c r="G26" s="5">
        <f>E26*F26</f>
        <v>1384.4000000000003</v>
      </c>
      <c r="H26" s="6"/>
      <c r="I26" s="5"/>
      <c r="J26" s="5"/>
      <c r="K26" s="7">
        <f>K25+E26</f>
        <v>1900</v>
      </c>
      <c r="L26" s="5">
        <f t="shared" si="0"/>
        <v>4.2835789473684214</v>
      </c>
      <c r="M26" s="5">
        <f>M25+G26</f>
        <v>8138.8</v>
      </c>
    </row>
    <row r="27" spans="1:21" x14ac:dyDescent="0.3">
      <c r="A27" t="s">
        <v>58</v>
      </c>
      <c r="B27" s="3">
        <v>45308</v>
      </c>
      <c r="C27" s="66" t="s">
        <v>18</v>
      </c>
      <c r="D27" s="66"/>
      <c r="E27" s="4"/>
      <c r="F27" s="5"/>
      <c r="G27" s="5"/>
      <c r="H27" s="6">
        <v>120</v>
      </c>
      <c r="I27" s="5">
        <f>(F22*0.9)</f>
        <v>3.6720000000000002</v>
      </c>
      <c r="J27" s="5">
        <f>H27*I27</f>
        <v>440.64000000000004</v>
      </c>
      <c r="K27" s="7">
        <f>K26-H27</f>
        <v>1780</v>
      </c>
      <c r="L27" s="5">
        <f t="shared" si="0"/>
        <v>4.3248089887640448</v>
      </c>
      <c r="M27" s="5">
        <f>M26-J27</f>
        <v>7698.16</v>
      </c>
    </row>
    <row r="28" spans="1:21" x14ac:dyDescent="0.3">
      <c r="A28" t="s">
        <v>59</v>
      </c>
      <c r="B28" s="3">
        <v>45319</v>
      </c>
      <c r="C28" s="67" t="s">
        <v>18</v>
      </c>
      <c r="D28" s="68"/>
      <c r="E28" s="4"/>
      <c r="F28" s="5"/>
      <c r="G28" s="5"/>
      <c r="H28" s="6">
        <v>500</v>
      </c>
      <c r="I28" s="5">
        <f>F22</f>
        <v>4.08</v>
      </c>
      <c r="J28" s="5">
        <f>H28*I28</f>
        <v>2040</v>
      </c>
      <c r="K28" s="7">
        <f>K27-H28</f>
        <v>1280</v>
      </c>
      <c r="L28" s="5">
        <f t="shared" si="0"/>
        <v>4.4204375000000002</v>
      </c>
      <c r="M28" s="5">
        <f>M27-J28</f>
        <v>5658.16</v>
      </c>
    </row>
    <row r="29" spans="1:21" x14ac:dyDescent="0.3">
      <c r="I29" s="1"/>
      <c r="J29" s="1"/>
      <c r="L29" s="1"/>
      <c r="M29" s="1"/>
    </row>
    <row r="30" spans="1:21" x14ac:dyDescent="0.3">
      <c r="B30" s="75" t="s">
        <v>50</v>
      </c>
      <c r="C30" s="76"/>
      <c r="D30" s="76"/>
      <c r="E30" s="76"/>
      <c r="F30" s="77" t="s">
        <v>62</v>
      </c>
      <c r="G30" s="77"/>
      <c r="H30" s="77"/>
      <c r="I30" s="77" t="s">
        <v>63</v>
      </c>
      <c r="J30" s="77"/>
      <c r="K30" s="77" t="s">
        <v>15</v>
      </c>
      <c r="L30" s="77"/>
      <c r="M30" s="71"/>
    </row>
    <row r="31" spans="1:21" x14ac:dyDescent="0.3">
      <c r="B31" s="62" t="s">
        <v>0</v>
      </c>
      <c r="C31" s="62" t="s">
        <v>3</v>
      </c>
      <c r="D31" s="62"/>
      <c r="E31" s="62" t="s">
        <v>4</v>
      </c>
      <c r="F31" s="62"/>
      <c r="G31" s="62"/>
      <c r="H31" s="62" t="s">
        <v>9</v>
      </c>
      <c r="I31" s="62"/>
      <c r="J31" s="62"/>
      <c r="K31" s="62" t="s">
        <v>8</v>
      </c>
      <c r="L31" s="62"/>
      <c r="M31" s="62"/>
    </row>
    <row r="32" spans="1:21" x14ac:dyDescent="0.3">
      <c r="B32" s="62"/>
      <c r="C32" s="70" t="s">
        <v>1</v>
      </c>
      <c r="D32" s="71"/>
      <c r="E32" s="8" t="s">
        <v>2</v>
      </c>
      <c r="F32" s="8" t="s">
        <v>5</v>
      </c>
      <c r="G32" s="8" t="s">
        <v>6</v>
      </c>
      <c r="H32" s="8" t="s">
        <v>2</v>
      </c>
      <c r="I32" s="8" t="s">
        <v>5</v>
      </c>
      <c r="J32" s="8" t="s">
        <v>6</v>
      </c>
      <c r="K32" s="8" t="s">
        <v>2</v>
      </c>
      <c r="L32" s="8" t="s">
        <v>5</v>
      </c>
      <c r="M32" s="8" t="s">
        <v>7</v>
      </c>
    </row>
    <row r="33" spans="1:13" x14ac:dyDescent="0.3">
      <c r="B33" s="3">
        <v>45292</v>
      </c>
      <c r="C33" s="67" t="s">
        <v>10</v>
      </c>
      <c r="D33" s="68"/>
      <c r="E33" s="4">
        <v>2500</v>
      </c>
      <c r="F33" s="5">
        <v>5.2</v>
      </c>
      <c r="G33" s="5">
        <f>E33*F33</f>
        <v>13000</v>
      </c>
      <c r="H33" s="6"/>
      <c r="I33" s="5"/>
      <c r="J33" s="5"/>
      <c r="K33" s="7">
        <f>E33</f>
        <v>2500</v>
      </c>
      <c r="L33" s="7">
        <f t="shared" ref="L33:L38" si="1">M33/K33</f>
        <v>5.2</v>
      </c>
      <c r="M33" s="5">
        <f>G33</f>
        <v>13000</v>
      </c>
    </row>
    <row r="34" spans="1:13" x14ac:dyDescent="0.3">
      <c r="B34" s="3">
        <v>45303</v>
      </c>
      <c r="C34" s="67" t="s">
        <v>17</v>
      </c>
      <c r="D34" s="68"/>
      <c r="E34" s="4">
        <v>50</v>
      </c>
      <c r="F34" s="5">
        <f>(5.3*0.95)+(T22/E34)</f>
        <v>5.262999999999999</v>
      </c>
      <c r="G34" s="5">
        <f>E34*F34</f>
        <v>263.14999999999998</v>
      </c>
      <c r="H34" s="6"/>
      <c r="I34" s="5"/>
      <c r="J34" s="5"/>
      <c r="K34" s="7">
        <f>K33+E34</f>
        <v>2550</v>
      </c>
      <c r="L34" s="5">
        <f t="shared" si="1"/>
        <v>5.2012352941176472</v>
      </c>
      <c r="M34" s="5">
        <f>M33+G34</f>
        <v>13263.15</v>
      </c>
    </row>
    <row r="35" spans="1:13" x14ac:dyDescent="0.3">
      <c r="A35" t="s">
        <v>64</v>
      </c>
      <c r="B35" s="3">
        <v>45306</v>
      </c>
      <c r="C35" s="67" t="s">
        <v>18</v>
      </c>
      <c r="D35" s="68"/>
      <c r="E35" s="4"/>
      <c r="F35" s="5"/>
      <c r="G35" s="5"/>
      <c r="H35" s="6">
        <v>500</v>
      </c>
      <c r="I35" s="5">
        <f>F33</f>
        <v>5.2</v>
      </c>
      <c r="J35" s="5">
        <f>H35*I35</f>
        <v>2600</v>
      </c>
      <c r="K35" s="7">
        <f>K34-H35</f>
        <v>2050</v>
      </c>
      <c r="L35" s="5">
        <f t="shared" si="1"/>
        <v>5.2015365853658535</v>
      </c>
      <c r="M35" s="5">
        <f>M34-J35</f>
        <v>10663.15</v>
      </c>
    </row>
    <row r="36" spans="1:13" x14ac:dyDescent="0.3">
      <c r="B36" s="3">
        <v>45307</v>
      </c>
      <c r="C36" s="67" t="s">
        <v>17</v>
      </c>
      <c r="D36" s="68"/>
      <c r="E36" s="4">
        <v>350</v>
      </c>
      <c r="F36" s="5">
        <f>(5.2*0.93)+(T23/E36)</f>
        <v>4.8854285714285721</v>
      </c>
      <c r="G36" s="5">
        <f>E36*F36</f>
        <v>1709.9000000000003</v>
      </c>
      <c r="H36" s="6"/>
      <c r="I36" s="5"/>
      <c r="J36" s="5"/>
      <c r="K36" s="7">
        <f>K35+E36</f>
        <v>2400</v>
      </c>
      <c r="L36" s="5">
        <f t="shared" si="1"/>
        <v>5.1554374999999997</v>
      </c>
      <c r="M36" s="5">
        <f>M35+G36</f>
        <v>12373.05</v>
      </c>
    </row>
    <row r="37" spans="1:13" x14ac:dyDescent="0.3">
      <c r="A37" t="s">
        <v>65</v>
      </c>
      <c r="B37" s="3">
        <v>45308</v>
      </c>
      <c r="C37" s="66" t="s">
        <v>18</v>
      </c>
      <c r="D37" s="66"/>
      <c r="E37" s="4"/>
      <c r="F37" s="5"/>
      <c r="G37" s="5"/>
      <c r="H37" s="6">
        <v>150</v>
      </c>
      <c r="I37" s="5">
        <f>(F33*0.9)</f>
        <v>4.6800000000000006</v>
      </c>
      <c r="J37" s="5">
        <f>H37*I37</f>
        <v>702.00000000000011</v>
      </c>
      <c r="K37" s="7">
        <f>K36-H37</f>
        <v>2250</v>
      </c>
      <c r="L37" s="5">
        <f t="shared" si="1"/>
        <v>5.1871333333333327</v>
      </c>
      <c r="M37" s="5">
        <f>M36-J37</f>
        <v>11671.05</v>
      </c>
    </row>
    <row r="38" spans="1:13" x14ac:dyDescent="0.3">
      <c r="A38" t="s">
        <v>66</v>
      </c>
      <c r="B38" s="3">
        <v>45319</v>
      </c>
      <c r="C38" s="66" t="s">
        <v>18</v>
      </c>
      <c r="D38" s="66"/>
      <c r="E38" s="4"/>
      <c r="F38" s="5"/>
      <c r="G38" s="5"/>
      <c r="H38" s="6">
        <v>650</v>
      </c>
      <c r="I38" s="5">
        <f>F33</f>
        <v>5.2</v>
      </c>
      <c r="J38" s="5">
        <f>H38*I38</f>
        <v>3380</v>
      </c>
      <c r="K38" s="7">
        <f>K37-H38</f>
        <v>1600</v>
      </c>
      <c r="L38" s="5">
        <f t="shared" si="1"/>
        <v>5.1819062499999999</v>
      </c>
      <c r="M38" s="5">
        <f>M37-J38</f>
        <v>8291.0499999999993</v>
      </c>
    </row>
    <row r="39" spans="1:13" x14ac:dyDescent="0.3">
      <c r="I39" s="1"/>
      <c r="J39" s="1"/>
      <c r="L39" s="1"/>
      <c r="M39" s="1"/>
    </row>
    <row r="40" spans="1:13" x14ac:dyDescent="0.3">
      <c r="I40" s="1"/>
      <c r="J40" s="1"/>
      <c r="L40" s="1"/>
      <c r="M40" s="1"/>
    </row>
    <row r="42" spans="1:13" x14ac:dyDescent="0.3">
      <c r="G42" s="43"/>
    </row>
  </sheetData>
  <mergeCells count="60">
    <mergeCell ref="O8:T8"/>
    <mergeCell ref="O14:T14"/>
    <mergeCell ref="O20:T20"/>
    <mergeCell ref="I30:J30"/>
    <mergeCell ref="K30:M30"/>
    <mergeCell ref="C37:D37"/>
    <mergeCell ref="C38:D38"/>
    <mergeCell ref="K31:M31"/>
    <mergeCell ref="C33:D33"/>
    <mergeCell ref="C28:D28"/>
    <mergeCell ref="B30:E30"/>
    <mergeCell ref="F30:H30"/>
    <mergeCell ref="C34:D34"/>
    <mergeCell ref="C35:D35"/>
    <mergeCell ref="C36:D36"/>
    <mergeCell ref="B31:B32"/>
    <mergeCell ref="C31:D31"/>
    <mergeCell ref="E31:G31"/>
    <mergeCell ref="H31:J31"/>
    <mergeCell ref="C32:D32"/>
    <mergeCell ref="C27:D27"/>
    <mergeCell ref="I19:J19"/>
    <mergeCell ref="K19:M19"/>
    <mergeCell ref="B20:B21"/>
    <mergeCell ref="C20:D20"/>
    <mergeCell ref="E20:G20"/>
    <mergeCell ref="H20:J20"/>
    <mergeCell ref="K20:M20"/>
    <mergeCell ref="C21:D21"/>
    <mergeCell ref="C22:D22"/>
    <mergeCell ref="C23:D23"/>
    <mergeCell ref="C24:D24"/>
    <mergeCell ref="C25:D25"/>
    <mergeCell ref="C26:D26"/>
    <mergeCell ref="C17:D17"/>
    <mergeCell ref="B19:E19"/>
    <mergeCell ref="F19:H19"/>
    <mergeCell ref="C11:D11"/>
    <mergeCell ref="C12:D12"/>
    <mergeCell ref="C13:D13"/>
    <mergeCell ref="C14:D14"/>
    <mergeCell ref="C15:D15"/>
    <mergeCell ref="C16:D16"/>
    <mergeCell ref="B8:E8"/>
    <mergeCell ref="F8:H8"/>
    <mergeCell ref="I8:J8"/>
    <mergeCell ref="K8:M8"/>
    <mergeCell ref="B9:B10"/>
    <mergeCell ref="C9:D9"/>
    <mergeCell ref="E9:G9"/>
    <mergeCell ref="H9:J9"/>
    <mergeCell ref="K9:M9"/>
    <mergeCell ref="C10:D10"/>
    <mergeCell ref="A2:A3"/>
    <mergeCell ref="B2:M3"/>
    <mergeCell ref="B5:M5"/>
    <mergeCell ref="B6:E6"/>
    <mergeCell ref="F6:H6"/>
    <mergeCell ref="I6:J6"/>
    <mergeCell ref="K6:M6"/>
  </mergeCells>
  <pageMargins left="0.7" right="0.7" top="0.75" bottom="0.75" header="0.3" footer="0.3"/>
  <pageSetup orientation="portrait" r:id="rId1"/>
  <ignoredErrors>
    <ignoredError sqref="L16 L12:L13 K13:K15 K35:K38 L34:L36 M35:M36 L14 L15:M15 M13:M14 M17 M24 M25 K24:K26 L24 K22:M23 K29:M33 L26:M26 L25 L27:L28 L37:L3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4"/>
  <sheetViews>
    <sheetView tabSelected="1" zoomScale="71" zoomScaleNormal="80" workbookViewId="0">
      <selection activeCell="O28" sqref="O28"/>
    </sheetView>
  </sheetViews>
  <sheetFormatPr baseColWidth="10" defaultRowHeight="14.4" x14ac:dyDescent="0.3"/>
  <cols>
    <col min="2" max="2" width="21.33203125" customWidth="1"/>
    <col min="3" max="3" width="13.44140625" customWidth="1"/>
    <col min="4" max="4" width="14.21875" customWidth="1"/>
    <col min="5" max="5" width="13.5546875" bestFit="1" customWidth="1"/>
    <col min="6" max="6" width="12.21875" bestFit="1" customWidth="1"/>
    <col min="7" max="7" width="12.44140625" bestFit="1" customWidth="1"/>
    <col min="8" max="8" width="12.109375" bestFit="1" customWidth="1"/>
    <col min="9" max="9" width="15.33203125" bestFit="1" customWidth="1"/>
    <col min="10" max="10" width="12.109375" bestFit="1" customWidth="1"/>
    <col min="11" max="11" width="15.44140625" bestFit="1" customWidth="1"/>
    <col min="12" max="12" width="11.5546875" customWidth="1"/>
    <col min="13" max="13" width="22" bestFit="1" customWidth="1"/>
    <col min="15" max="15" width="16" bestFit="1" customWidth="1"/>
  </cols>
  <sheetData>
    <row r="2" spans="1:15" x14ac:dyDescent="0.3">
      <c r="A2" s="65" t="s">
        <v>68</v>
      </c>
      <c r="B2" s="64" t="s">
        <v>69</v>
      </c>
      <c r="C2" s="64"/>
      <c r="D2" s="64"/>
      <c r="E2" s="64"/>
      <c r="F2" s="64"/>
      <c r="G2" s="64"/>
      <c r="H2" s="64"/>
      <c r="I2" s="64"/>
      <c r="J2" s="64"/>
      <c r="K2" s="64"/>
      <c r="L2" s="64"/>
      <c r="M2" s="64"/>
    </row>
    <row r="3" spans="1:15" x14ac:dyDescent="0.3">
      <c r="A3" s="65"/>
      <c r="B3" s="64"/>
      <c r="C3" s="64"/>
      <c r="D3" s="64"/>
      <c r="E3" s="64"/>
      <c r="F3" s="64"/>
      <c r="G3" s="64"/>
      <c r="H3" s="64"/>
      <c r="I3" s="64"/>
      <c r="J3" s="64"/>
      <c r="K3" s="64"/>
      <c r="L3" s="64"/>
      <c r="M3" s="64"/>
    </row>
    <row r="5" spans="1:15" ht="14.4" customHeight="1" x14ac:dyDescent="0.3">
      <c r="A5" s="46"/>
      <c r="B5" s="50"/>
      <c r="C5" s="50"/>
      <c r="D5" s="51"/>
      <c r="E5" s="51"/>
      <c r="F5" s="51"/>
      <c r="G5" s="82" t="s">
        <v>123</v>
      </c>
      <c r="H5" s="82"/>
      <c r="I5" s="82"/>
      <c r="J5" s="82"/>
      <c r="K5" s="82"/>
      <c r="L5" s="82"/>
    </row>
    <row r="6" spans="1:15" x14ac:dyDescent="0.3">
      <c r="A6" s="46"/>
      <c r="B6" s="45" t="s">
        <v>83</v>
      </c>
      <c r="C6" s="45"/>
      <c r="D6" s="45"/>
      <c r="E6" s="45"/>
      <c r="F6" s="46"/>
      <c r="G6" s="82"/>
      <c r="H6" s="82"/>
      <c r="I6" s="82"/>
      <c r="J6" s="82"/>
      <c r="K6" s="82"/>
      <c r="L6" s="82"/>
    </row>
    <row r="7" spans="1:15" x14ac:dyDescent="0.3">
      <c r="A7" s="46"/>
      <c r="B7" s="27" t="s">
        <v>86</v>
      </c>
      <c r="C7" s="27" t="s">
        <v>75</v>
      </c>
      <c r="D7" s="27" t="s">
        <v>76</v>
      </c>
      <c r="E7" s="27" t="s">
        <v>78</v>
      </c>
      <c r="F7" s="49"/>
      <c r="G7" s="82"/>
      <c r="H7" s="82"/>
      <c r="I7" s="82"/>
      <c r="J7" s="82"/>
      <c r="K7" s="82"/>
      <c r="L7" s="82"/>
    </row>
    <row r="8" spans="1:15" x14ac:dyDescent="0.3">
      <c r="A8" s="46"/>
      <c r="B8" s="6" t="s">
        <v>129</v>
      </c>
      <c r="C8" s="25">
        <v>5000</v>
      </c>
      <c r="D8" s="5">
        <v>0.3</v>
      </c>
      <c r="E8" s="5">
        <f>C8*D8</f>
        <v>1500</v>
      </c>
      <c r="F8" s="49"/>
      <c r="G8" s="82"/>
      <c r="H8" s="82"/>
      <c r="I8" s="82"/>
      <c r="J8" s="82"/>
      <c r="K8" s="82"/>
      <c r="L8" s="82"/>
    </row>
    <row r="9" spans="1:15" ht="14.4" customHeight="1" x14ac:dyDescent="0.3">
      <c r="A9" s="46"/>
      <c r="B9" s="6"/>
      <c r="C9" s="25"/>
      <c r="D9" s="5"/>
      <c r="E9" s="30">
        <f>E8</f>
        <v>1500</v>
      </c>
      <c r="F9" s="49"/>
      <c r="G9" s="82"/>
      <c r="H9" s="82"/>
      <c r="I9" s="82"/>
      <c r="J9" s="82"/>
      <c r="K9" s="82"/>
      <c r="L9" s="82"/>
    </row>
    <row r="10" spans="1:15" x14ac:dyDescent="0.3">
      <c r="A10" s="46"/>
      <c r="F10" s="49"/>
      <c r="G10" s="82"/>
      <c r="H10" s="82"/>
      <c r="I10" s="82"/>
      <c r="J10" s="82"/>
      <c r="K10" s="82"/>
      <c r="L10" s="82"/>
    </row>
    <row r="11" spans="1:15" x14ac:dyDescent="0.3">
      <c r="A11" s="46"/>
      <c r="B11" s="44" t="s">
        <v>88</v>
      </c>
      <c r="C11" s="44"/>
      <c r="F11" s="49"/>
      <c r="G11" s="82"/>
      <c r="H11" s="82"/>
      <c r="I11" s="82"/>
      <c r="J11" s="82"/>
      <c r="K11" s="82"/>
      <c r="L11" s="82"/>
    </row>
    <row r="12" spans="1:15" x14ac:dyDescent="0.3">
      <c r="A12" s="46"/>
      <c r="B12" s="38" t="s">
        <v>86</v>
      </c>
      <c r="C12" s="38" t="s">
        <v>78</v>
      </c>
      <c r="F12" s="49"/>
    </row>
    <row r="13" spans="1:15" ht="14.4" customHeight="1" x14ac:dyDescent="0.3">
      <c r="A13" s="46"/>
      <c r="B13" s="37" t="s">
        <v>71</v>
      </c>
      <c r="C13" s="33">
        <f>3005.06</f>
        <v>3005.06</v>
      </c>
      <c r="E13" s="75" t="s">
        <v>124</v>
      </c>
      <c r="F13" s="76"/>
      <c r="G13" s="76"/>
      <c r="H13" s="76"/>
      <c r="I13" s="76"/>
      <c r="J13" s="76"/>
      <c r="K13" s="76"/>
      <c r="L13" s="106"/>
    </row>
    <row r="14" spans="1:15" x14ac:dyDescent="0.3">
      <c r="A14" s="46"/>
      <c r="B14" s="6" t="s">
        <v>72</v>
      </c>
      <c r="C14" s="5">
        <v>360.61</v>
      </c>
      <c r="E14" s="93" t="s">
        <v>0</v>
      </c>
      <c r="F14" s="72" t="s">
        <v>1</v>
      </c>
      <c r="G14" s="74"/>
      <c r="H14" s="70" t="s">
        <v>112</v>
      </c>
      <c r="I14" s="77"/>
      <c r="J14" s="71"/>
      <c r="K14" s="88" t="s">
        <v>113</v>
      </c>
      <c r="L14" s="53" t="s">
        <v>7</v>
      </c>
    </row>
    <row r="15" spans="1:15" ht="14.4" customHeight="1" x14ac:dyDescent="0.3">
      <c r="B15" s="6" t="s">
        <v>52</v>
      </c>
      <c r="C15" s="5">
        <v>180.3</v>
      </c>
      <c r="E15" s="94"/>
      <c r="F15" s="86"/>
      <c r="G15" s="87"/>
      <c r="H15" s="52" t="s">
        <v>2</v>
      </c>
      <c r="I15" s="52" t="s">
        <v>5</v>
      </c>
      <c r="J15" s="52" t="s">
        <v>6</v>
      </c>
      <c r="K15" s="89"/>
      <c r="L15" s="54"/>
    </row>
    <row r="16" spans="1:15" ht="14.4" customHeight="1" x14ac:dyDescent="0.3">
      <c r="B16" s="6" t="s">
        <v>73</v>
      </c>
      <c r="C16" s="5">
        <v>150.25</v>
      </c>
      <c r="E16" s="3" t="s">
        <v>111</v>
      </c>
      <c r="F16" s="67" t="s">
        <v>10</v>
      </c>
      <c r="G16" s="68"/>
      <c r="H16" s="4">
        <f>C8</f>
        <v>5000</v>
      </c>
      <c r="I16" s="5">
        <f>D8</f>
        <v>0.3</v>
      </c>
      <c r="J16" s="5">
        <f>H16*I16</f>
        <v>1500</v>
      </c>
      <c r="K16" s="5"/>
      <c r="L16" s="5">
        <f>J16</f>
        <v>1500</v>
      </c>
      <c r="N16" s="1"/>
      <c r="O16" s="1"/>
    </row>
    <row r="17" spans="2:13" x14ac:dyDescent="0.3">
      <c r="B17" s="6" t="s">
        <v>104</v>
      </c>
      <c r="C17" s="5">
        <v>601.01</v>
      </c>
      <c r="E17" s="3" t="s">
        <v>109</v>
      </c>
      <c r="F17" s="67" t="s">
        <v>17</v>
      </c>
      <c r="G17" s="68"/>
      <c r="H17" s="4">
        <v>1000</v>
      </c>
      <c r="I17" s="5">
        <v>0.32</v>
      </c>
      <c r="J17" s="5">
        <f>H17*I17</f>
        <v>320</v>
      </c>
      <c r="K17" s="5">
        <f>M23</f>
        <v>1951.8487500000001</v>
      </c>
      <c r="L17" s="5">
        <f>J17+K17</f>
        <v>2271.8487500000001</v>
      </c>
    </row>
    <row r="18" spans="2:13" ht="14.4" customHeight="1" x14ac:dyDescent="0.3">
      <c r="B18" s="6" t="s">
        <v>131</v>
      </c>
      <c r="C18" s="29">
        <v>901.5</v>
      </c>
      <c r="E18" s="3" t="s">
        <v>110</v>
      </c>
      <c r="F18" s="67" t="s">
        <v>17</v>
      </c>
      <c r="G18" s="68"/>
      <c r="H18" s="4">
        <v>500</v>
      </c>
      <c r="I18" s="5">
        <v>0.32</v>
      </c>
      <c r="J18" s="5">
        <f>H18*I18</f>
        <v>160</v>
      </c>
      <c r="K18" s="5">
        <f>M28</f>
        <v>1953.68625</v>
      </c>
      <c r="L18" s="5">
        <f>J18+K18</f>
        <v>2113.6862499999997</v>
      </c>
    </row>
    <row r="19" spans="2:13" x14ac:dyDescent="0.3">
      <c r="C19" s="30">
        <f>SUM(C13:C18)</f>
        <v>5198.7300000000005</v>
      </c>
      <c r="L19" s="26">
        <f>SUM(L16:L18)</f>
        <v>5885.5349999999999</v>
      </c>
    </row>
    <row r="21" spans="2:13" x14ac:dyDescent="0.3">
      <c r="B21" s="90" t="s">
        <v>73</v>
      </c>
      <c r="C21" s="90"/>
      <c r="E21" s="91" t="s">
        <v>116</v>
      </c>
      <c r="F21" s="92"/>
      <c r="G21" s="92"/>
      <c r="H21" s="92"/>
      <c r="I21" s="92"/>
      <c r="J21" s="92"/>
      <c r="K21" s="92"/>
      <c r="L21" s="92"/>
      <c r="M21" s="92"/>
    </row>
    <row r="22" spans="2:13" x14ac:dyDescent="0.3">
      <c r="B22" s="32" t="s">
        <v>105</v>
      </c>
      <c r="C22" s="33">
        <f>C16+6.2</f>
        <v>156.44999999999999</v>
      </c>
      <c r="E22" s="18" t="s">
        <v>55</v>
      </c>
      <c r="F22" s="18" t="s">
        <v>107</v>
      </c>
      <c r="G22" s="18" t="s">
        <v>72</v>
      </c>
      <c r="H22" s="18" t="s">
        <v>52</v>
      </c>
      <c r="I22" s="18" t="s">
        <v>108</v>
      </c>
      <c r="J22" s="18" t="s">
        <v>74</v>
      </c>
      <c r="K22" s="18" t="s">
        <v>130</v>
      </c>
      <c r="L22" s="18" t="s">
        <v>114</v>
      </c>
      <c r="M22" s="18" t="s">
        <v>115</v>
      </c>
    </row>
    <row r="23" spans="2:13" x14ac:dyDescent="0.3">
      <c r="B23" s="6" t="s">
        <v>106</v>
      </c>
      <c r="C23" s="29">
        <f>C22+4.9</f>
        <v>161.35</v>
      </c>
      <c r="E23" s="16" t="s">
        <v>105</v>
      </c>
      <c r="F23" s="17">
        <f>C13/2</f>
        <v>1502.53</v>
      </c>
      <c r="G23" s="17">
        <f>C14/2</f>
        <v>180.30500000000001</v>
      </c>
      <c r="H23" s="20">
        <f>C15/2</f>
        <v>90.15</v>
      </c>
      <c r="I23" s="20">
        <f>C22/2</f>
        <v>78.224999999999994</v>
      </c>
      <c r="J23" s="17">
        <f>C17/2</f>
        <v>300.505</v>
      </c>
      <c r="K23" s="29">
        <f>C18/2</f>
        <v>450.75</v>
      </c>
      <c r="L23" s="19">
        <f>SUM(F23:K23)</f>
        <v>2602.4650000000001</v>
      </c>
      <c r="M23" s="29">
        <f>L23*0.75</f>
        <v>1951.8487500000001</v>
      </c>
    </row>
    <row r="25" spans="2:13" x14ac:dyDescent="0.3">
      <c r="B25" s="81" t="s">
        <v>122</v>
      </c>
      <c r="C25" s="81"/>
      <c r="D25" s="46"/>
    </row>
    <row r="26" spans="2:13" x14ac:dyDescent="0.3">
      <c r="B26" s="6" t="s">
        <v>75</v>
      </c>
      <c r="C26" s="6">
        <v>1000</v>
      </c>
      <c r="D26" s="46"/>
      <c r="E26" s="91" t="s">
        <v>117</v>
      </c>
      <c r="F26" s="92"/>
      <c r="G26" s="92"/>
      <c r="H26" s="92"/>
      <c r="I26" s="92"/>
      <c r="J26" s="92"/>
      <c r="K26" s="92"/>
      <c r="L26" s="92"/>
      <c r="M26" s="92"/>
    </row>
    <row r="27" spans="2:13" x14ac:dyDescent="0.3">
      <c r="E27" s="18" t="s">
        <v>55</v>
      </c>
      <c r="F27" s="18" t="s">
        <v>107</v>
      </c>
      <c r="G27" s="18" t="s">
        <v>72</v>
      </c>
      <c r="H27" s="18" t="s">
        <v>52</v>
      </c>
      <c r="I27" s="18" t="s">
        <v>108</v>
      </c>
      <c r="J27" s="18" t="s">
        <v>74</v>
      </c>
      <c r="K27" s="18" t="s">
        <v>130</v>
      </c>
      <c r="L27" s="18" t="s">
        <v>114</v>
      </c>
      <c r="M27" s="18" t="s">
        <v>115</v>
      </c>
    </row>
    <row r="28" spans="2:13" x14ac:dyDescent="0.3">
      <c r="E28" s="16" t="s">
        <v>106</v>
      </c>
      <c r="F28" s="17">
        <f>C13/2</f>
        <v>1502.53</v>
      </c>
      <c r="G28" s="17">
        <f>C14/2</f>
        <v>180.30500000000001</v>
      </c>
      <c r="H28" s="20">
        <f>C15/2</f>
        <v>90.15</v>
      </c>
      <c r="I28" s="20">
        <f>C23/2</f>
        <v>80.674999999999997</v>
      </c>
      <c r="J28" s="17">
        <f>C17/2</f>
        <v>300.505</v>
      </c>
      <c r="K28" s="29">
        <f>C18/2</f>
        <v>450.75</v>
      </c>
      <c r="L28" s="19">
        <f>SUM(F28:K28)</f>
        <v>2604.915</v>
      </c>
      <c r="M28" s="29">
        <f>L28*0.75</f>
        <v>1953.68625</v>
      </c>
    </row>
    <row r="30" spans="2:13" x14ac:dyDescent="0.3">
      <c r="E30" s="83" t="s">
        <v>118</v>
      </c>
      <c r="F30" s="84"/>
      <c r="G30" s="84"/>
      <c r="H30" s="84"/>
      <c r="I30" s="84"/>
      <c r="J30" s="84"/>
      <c r="K30" s="84"/>
      <c r="L30" s="84"/>
      <c r="M30" s="85"/>
    </row>
    <row r="31" spans="2:13" x14ac:dyDescent="0.3">
      <c r="E31" s="16" t="s">
        <v>105</v>
      </c>
      <c r="F31" s="17">
        <f>F23</f>
        <v>1502.53</v>
      </c>
      <c r="G31" s="17">
        <f>G23</f>
        <v>180.30500000000001</v>
      </c>
      <c r="H31" s="17">
        <f>H23</f>
        <v>90.15</v>
      </c>
      <c r="I31" s="17">
        <f>I23</f>
        <v>78.224999999999994</v>
      </c>
      <c r="J31" s="17">
        <f>J23</f>
        <v>300.505</v>
      </c>
      <c r="K31" s="29">
        <f>C18/2</f>
        <v>450.75</v>
      </c>
      <c r="L31" s="34">
        <f>SUM(F31:J31)</f>
        <v>2151.7150000000001</v>
      </c>
      <c r="M31" s="29">
        <f>M23</f>
        <v>1951.8487500000001</v>
      </c>
    </row>
    <row r="32" spans="2:13" x14ac:dyDescent="0.3">
      <c r="E32" s="16" t="s">
        <v>106</v>
      </c>
      <c r="F32" s="17">
        <f>F28</f>
        <v>1502.53</v>
      </c>
      <c r="G32" s="17">
        <f>G28</f>
        <v>180.30500000000001</v>
      </c>
      <c r="H32" s="17">
        <f>H28</f>
        <v>90.15</v>
      </c>
      <c r="I32" s="17">
        <f>I28</f>
        <v>80.674999999999997</v>
      </c>
      <c r="J32" s="17">
        <f>J28</f>
        <v>300.505</v>
      </c>
      <c r="K32" s="29">
        <f>C18/2</f>
        <v>450.75</v>
      </c>
      <c r="L32" s="34">
        <f>SUM(F32:J32)</f>
        <v>2154.165</v>
      </c>
      <c r="M32" s="29">
        <f>M28</f>
        <v>1953.68625</v>
      </c>
    </row>
    <row r="33" spans="1:13" x14ac:dyDescent="0.3">
      <c r="L33" s="26">
        <f>L31+L32</f>
        <v>4305.88</v>
      </c>
      <c r="M33" s="26">
        <f>M31+M32</f>
        <v>3905.5349999999999</v>
      </c>
    </row>
    <row r="35" spans="1:13" ht="22.8" customHeight="1" x14ac:dyDescent="0.3">
      <c r="B35" s="107" t="s">
        <v>120</v>
      </c>
      <c r="C35" s="109" t="s">
        <v>119</v>
      </c>
      <c r="D35" s="109"/>
      <c r="E35" s="14" t="s">
        <v>101</v>
      </c>
      <c r="F35" s="110">
        <f>L19</f>
        <v>5885.5349999999999</v>
      </c>
    </row>
    <row r="36" spans="1:13" x14ac:dyDescent="0.3">
      <c r="A36" s="46"/>
      <c r="B36" s="108"/>
      <c r="C36" s="108"/>
      <c r="D36" s="108"/>
      <c r="E36" s="14"/>
      <c r="F36" s="108"/>
    </row>
    <row r="37" spans="1:13" ht="22.8" customHeight="1" x14ac:dyDescent="0.3">
      <c r="A37" s="46"/>
      <c r="B37" s="107" t="s">
        <v>121</v>
      </c>
      <c r="C37" s="109" t="s">
        <v>77</v>
      </c>
      <c r="D37" s="109"/>
      <c r="E37" s="14" t="s">
        <v>101</v>
      </c>
      <c r="F37" s="110">
        <f>L19/C26</f>
        <v>5.885535</v>
      </c>
    </row>
    <row r="38" spans="1:13" x14ac:dyDescent="0.3">
      <c r="A38" s="46"/>
    </row>
    <row r="39" spans="1:13" x14ac:dyDescent="0.3">
      <c r="A39" s="46"/>
      <c r="B39" s="46"/>
      <c r="C39" s="48"/>
      <c r="D39" s="46"/>
    </row>
    <row r="40" spans="1:13" x14ac:dyDescent="0.3">
      <c r="A40" s="46"/>
      <c r="B40" s="46"/>
      <c r="C40" s="47"/>
      <c r="D40" s="46"/>
    </row>
    <row r="44" spans="1:13" x14ac:dyDescent="0.3">
      <c r="K44" s="35"/>
    </row>
  </sheetData>
  <mergeCells count="18">
    <mergeCell ref="F17:G17"/>
    <mergeCell ref="F18:G18"/>
    <mergeCell ref="C35:D35"/>
    <mergeCell ref="C37:D37"/>
    <mergeCell ref="E21:M21"/>
    <mergeCell ref="E26:M26"/>
    <mergeCell ref="E30:M30"/>
    <mergeCell ref="E13:L13"/>
    <mergeCell ref="K14:K15"/>
    <mergeCell ref="F16:G16"/>
    <mergeCell ref="H14:J14"/>
    <mergeCell ref="E14:E15"/>
    <mergeCell ref="F14:G15"/>
    <mergeCell ref="A2:A3"/>
    <mergeCell ref="B2:M3"/>
    <mergeCell ref="G5:L11"/>
    <mergeCell ref="B25:C25"/>
    <mergeCell ref="B21:C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
  <sheetViews>
    <sheetView topLeftCell="A4" zoomScale="85" zoomScaleNormal="82" workbookViewId="0">
      <selection activeCell="I22" sqref="I22"/>
    </sheetView>
  </sheetViews>
  <sheetFormatPr baseColWidth="10" defaultRowHeight="14.4" x14ac:dyDescent="0.3"/>
  <cols>
    <col min="2" max="2" width="19.44140625" customWidth="1"/>
    <col min="3" max="3" width="15.6640625" customWidth="1"/>
    <col min="4" max="5" width="13.33203125" bestFit="1" customWidth="1"/>
    <col min="6" max="6" width="13" bestFit="1" customWidth="1"/>
    <col min="7" max="7" width="12.6640625" bestFit="1" customWidth="1"/>
    <col min="10" max="10" width="12.44140625" bestFit="1" customWidth="1"/>
    <col min="13" max="13" width="11.5546875" customWidth="1"/>
  </cols>
  <sheetData>
    <row r="2" spans="1:13" ht="27.6" customHeight="1" x14ac:dyDescent="0.3">
      <c r="A2" s="65" t="s">
        <v>79</v>
      </c>
      <c r="B2" s="64" t="s">
        <v>80</v>
      </c>
      <c r="C2" s="64"/>
      <c r="D2" s="64"/>
      <c r="E2" s="64"/>
      <c r="F2" s="64"/>
      <c r="G2" s="64"/>
      <c r="H2" s="64"/>
      <c r="I2" s="64"/>
      <c r="J2" s="64"/>
      <c r="K2" s="64"/>
      <c r="L2" s="64"/>
      <c r="M2" s="64"/>
    </row>
    <row r="3" spans="1:13" ht="36" customHeight="1" x14ac:dyDescent="0.3">
      <c r="A3" s="65"/>
      <c r="B3" s="64"/>
      <c r="C3" s="64"/>
      <c r="D3" s="64"/>
      <c r="E3" s="64"/>
      <c r="F3" s="64"/>
      <c r="G3" s="64"/>
      <c r="H3" s="64"/>
      <c r="I3" s="64"/>
      <c r="J3" s="64"/>
      <c r="K3" s="64"/>
      <c r="L3" s="64"/>
      <c r="M3" s="64"/>
    </row>
    <row r="5" spans="1:13" ht="30" customHeight="1" x14ac:dyDescent="0.3">
      <c r="A5" s="22"/>
      <c r="B5" s="105" t="s">
        <v>81</v>
      </c>
      <c r="C5" s="105"/>
      <c r="D5" s="105"/>
      <c r="E5" s="105"/>
      <c r="F5" s="105"/>
      <c r="G5" s="105"/>
      <c r="H5" s="105"/>
      <c r="I5" s="105"/>
      <c r="J5" s="105"/>
      <c r="K5" s="105"/>
      <c r="L5" s="105"/>
      <c r="M5" s="105"/>
    </row>
    <row r="7" spans="1:13" x14ac:dyDescent="0.3">
      <c r="B7" s="95" t="s">
        <v>83</v>
      </c>
      <c r="C7" s="95"/>
      <c r="D7" s="95"/>
      <c r="E7" s="95"/>
      <c r="G7" s="95" t="s">
        <v>97</v>
      </c>
      <c r="H7" s="95"/>
      <c r="J7" s="95" t="s">
        <v>99</v>
      </c>
      <c r="K7" s="95"/>
    </row>
    <row r="8" spans="1:13" x14ac:dyDescent="0.3">
      <c r="B8" s="27" t="s">
        <v>86</v>
      </c>
      <c r="C8" s="27" t="s">
        <v>75</v>
      </c>
      <c r="D8" s="27" t="s">
        <v>76</v>
      </c>
      <c r="E8" s="27" t="s">
        <v>78</v>
      </c>
      <c r="G8" s="21" t="s">
        <v>75</v>
      </c>
      <c r="H8" s="24">
        <v>10000</v>
      </c>
      <c r="J8" s="6" t="s">
        <v>103</v>
      </c>
      <c r="K8" s="30">
        <f>40.9</f>
        <v>40.9</v>
      </c>
    </row>
    <row r="9" spans="1:13" x14ac:dyDescent="0.3">
      <c r="B9" s="6" t="s">
        <v>82</v>
      </c>
      <c r="C9" s="25">
        <v>200</v>
      </c>
      <c r="D9" s="5">
        <v>32.5</v>
      </c>
      <c r="E9" s="5">
        <f>C9*D9</f>
        <v>6500</v>
      </c>
    </row>
    <row r="10" spans="1:13" x14ac:dyDescent="0.3">
      <c r="B10" s="6" t="s">
        <v>50</v>
      </c>
      <c r="C10" s="25">
        <v>600</v>
      </c>
      <c r="D10" s="5">
        <v>25.6</v>
      </c>
      <c r="E10" s="5">
        <f>C10*D10</f>
        <v>15360</v>
      </c>
      <c r="G10" s="95" t="s">
        <v>98</v>
      </c>
      <c r="H10" s="95"/>
      <c r="J10" s="95" t="s">
        <v>127</v>
      </c>
      <c r="K10" s="95"/>
    </row>
    <row r="11" spans="1:13" x14ac:dyDescent="0.3">
      <c r="B11" s="6" t="s">
        <v>49</v>
      </c>
      <c r="C11" s="25">
        <v>1400</v>
      </c>
      <c r="D11" s="5">
        <v>63.3</v>
      </c>
      <c r="E11" s="5">
        <f>C11*D11</f>
        <v>88620</v>
      </c>
      <c r="G11" s="21" t="s">
        <v>75</v>
      </c>
      <c r="H11" s="24">
        <f>H8*0.75</f>
        <v>7500</v>
      </c>
      <c r="J11" s="6" t="s">
        <v>126</v>
      </c>
      <c r="K11" s="36">
        <f>(K8-G22)/K8</f>
        <v>0.18044368378158115</v>
      </c>
    </row>
    <row r="12" spans="1:13" x14ac:dyDescent="0.3">
      <c r="B12" s="6" t="s">
        <v>84</v>
      </c>
      <c r="C12" s="25">
        <v>900</v>
      </c>
      <c r="D12" s="5">
        <v>73.3</v>
      </c>
      <c r="E12" s="5">
        <f>C12*D12</f>
        <v>65970</v>
      </c>
    </row>
    <row r="13" spans="1:13" x14ac:dyDescent="0.3">
      <c r="B13" s="6" t="s">
        <v>85</v>
      </c>
      <c r="C13" s="25">
        <v>2990</v>
      </c>
      <c r="D13" s="5">
        <v>10.6</v>
      </c>
      <c r="E13" s="5">
        <f>C13*D13</f>
        <v>31694</v>
      </c>
    </row>
    <row r="14" spans="1:13" x14ac:dyDescent="0.3">
      <c r="B14" s="6"/>
      <c r="C14" s="6"/>
      <c r="D14" s="6"/>
      <c r="E14" s="26">
        <f>SUM(E9:E13)</f>
        <v>208144</v>
      </c>
    </row>
    <row r="16" spans="1:13" x14ac:dyDescent="0.3">
      <c r="B16" s="98" t="s">
        <v>87</v>
      </c>
      <c r="C16" s="99"/>
      <c r="D16" s="98" t="s">
        <v>88</v>
      </c>
      <c r="E16" s="99"/>
    </row>
    <row r="17" spans="1:10" x14ac:dyDescent="0.3">
      <c r="B17" s="21" t="s">
        <v>89</v>
      </c>
      <c r="C17" s="24">
        <v>43254.9</v>
      </c>
      <c r="D17" s="21" t="s">
        <v>70</v>
      </c>
      <c r="E17" s="24">
        <v>75623.7</v>
      </c>
    </row>
    <row r="19" spans="1:10" x14ac:dyDescent="0.3">
      <c r="B19" s="83" t="s">
        <v>92</v>
      </c>
      <c r="C19" s="85"/>
      <c r="D19" s="83" t="s">
        <v>93</v>
      </c>
      <c r="E19" s="85"/>
      <c r="F19" s="83" t="s">
        <v>102</v>
      </c>
      <c r="G19" s="85"/>
      <c r="J19" s="23"/>
    </row>
    <row r="20" spans="1:10" x14ac:dyDescent="0.3">
      <c r="B20" s="6" t="s">
        <v>91</v>
      </c>
      <c r="C20" s="29">
        <f>E14</f>
        <v>208144</v>
      </c>
      <c r="D20" s="6" t="s">
        <v>94</v>
      </c>
      <c r="E20" s="29">
        <f>C22</f>
        <v>251398.9</v>
      </c>
      <c r="F20" s="6" t="s">
        <v>94</v>
      </c>
      <c r="G20" s="29">
        <f>E20</f>
        <v>251398.9</v>
      </c>
      <c r="J20" s="31"/>
    </row>
    <row r="21" spans="1:10" x14ac:dyDescent="0.3">
      <c r="B21" s="6" t="s">
        <v>90</v>
      </c>
      <c r="C21" s="7">
        <f>C17</f>
        <v>43254.9</v>
      </c>
      <c r="D21" s="6" t="s">
        <v>75</v>
      </c>
      <c r="E21" s="7">
        <f>H8</f>
        <v>10000</v>
      </c>
      <c r="F21" s="6" t="s">
        <v>75</v>
      </c>
      <c r="G21" s="7">
        <f>H11</f>
        <v>7500</v>
      </c>
    </row>
    <row r="22" spans="1:10" x14ac:dyDescent="0.3">
      <c r="B22" s="6" t="s">
        <v>78</v>
      </c>
      <c r="C22" s="26">
        <f>C20+C21</f>
        <v>251398.9</v>
      </c>
      <c r="D22" s="6" t="s">
        <v>95</v>
      </c>
      <c r="E22" s="30">
        <f>E20/E21</f>
        <v>25.139890000000001</v>
      </c>
      <c r="F22" s="6" t="s">
        <v>95</v>
      </c>
      <c r="G22" s="30">
        <f>G20/G21</f>
        <v>33.51985333333333</v>
      </c>
    </row>
    <row r="25" spans="1:10" x14ac:dyDescent="0.3">
      <c r="A25" s="95" t="s">
        <v>100</v>
      </c>
      <c r="B25" s="100" t="s">
        <v>96</v>
      </c>
      <c r="C25" s="101" t="s">
        <v>101</v>
      </c>
      <c r="D25" s="96">
        <f>E17/(K8-G22)</f>
        <v>10246.910178840164</v>
      </c>
      <c r="E25" s="103" t="s">
        <v>75</v>
      </c>
      <c r="G25" s="23"/>
      <c r="H25" s="28"/>
    </row>
    <row r="26" spans="1:10" ht="23.4" customHeight="1" x14ac:dyDescent="0.3">
      <c r="A26" s="95"/>
      <c r="B26" s="100"/>
      <c r="C26" s="102"/>
      <c r="D26" s="97"/>
      <c r="E26" s="104"/>
    </row>
    <row r="27" spans="1:10" x14ac:dyDescent="0.3">
      <c r="C27" s="28"/>
    </row>
    <row r="28" spans="1:10" ht="14.4" customHeight="1" x14ac:dyDescent="0.3">
      <c r="A28" s="95" t="s">
        <v>128</v>
      </c>
      <c r="B28" s="100" t="s">
        <v>96</v>
      </c>
      <c r="C28" s="101" t="s">
        <v>101</v>
      </c>
      <c r="D28" s="96">
        <f>E17/K11</f>
        <v>419098.62631456269</v>
      </c>
      <c r="E28" s="103" t="s">
        <v>125</v>
      </c>
    </row>
    <row r="29" spans="1:10" x14ac:dyDescent="0.3">
      <c r="A29" s="95"/>
      <c r="B29" s="100"/>
      <c r="C29" s="102"/>
      <c r="D29" s="97"/>
      <c r="E29" s="104"/>
    </row>
  </sheetData>
  <mergeCells count="23">
    <mergeCell ref="A28:A29"/>
    <mergeCell ref="B28:B29"/>
    <mergeCell ref="C28:C29"/>
    <mergeCell ref="D28:D29"/>
    <mergeCell ref="E28:E29"/>
    <mergeCell ref="A2:A3"/>
    <mergeCell ref="B2:M3"/>
    <mergeCell ref="B5:M5"/>
    <mergeCell ref="B7:E7"/>
    <mergeCell ref="G7:H7"/>
    <mergeCell ref="A25:A26"/>
    <mergeCell ref="F19:G19"/>
    <mergeCell ref="D25:D26"/>
    <mergeCell ref="G10:H10"/>
    <mergeCell ref="J7:K7"/>
    <mergeCell ref="D16:E16"/>
    <mergeCell ref="D19:E19"/>
    <mergeCell ref="B25:B26"/>
    <mergeCell ref="B19:C19"/>
    <mergeCell ref="B16:C16"/>
    <mergeCell ref="C25:C26"/>
    <mergeCell ref="E25:E26"/>
    <mergeCell ref="J10:K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TAREA 1</vt:lpstr>
      <vt:lpstr>TAREA 2</vt:lpstr>
      <vt:lpstr>TAREA 3</vt:lpstr>
      <vt:lpstr>TAREA 4</vt:lpstr>
      <vt:lpstr>TAREA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Aquino</dc:creator>
  <cp:lastModifiedBy>Daniel Aquino</cp:lastModifiedBy>
  <dcterms:created xsi:type="dcterms:W3CDTF">2024-03-07T01:13:54Z</dcterms:created>
  <dcterms:modified xsi:type="dcterms:W3CDTF">2024-03-15T03:28:10Z</dcterms:modified>
</cp:coreProperties>
</file>